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ec-app-04\CUENTAS_NACIONALES\PROVINCIAL\Provincial_2018-2023\ENCADENADO\PARA WEB\"/>
    </mc:Choice>
  </mc:AlternateContent>
  <bookViews>
    <workbookView xWindow="0" yWindow="0" windowWidth="28800" windowHeight="12435" tabRatio="697"/>
  </bookViews>
  <sheets>
    <sheet name="Índice" sheetId="41" r:id="rId1"/>
    <sheet name="Cuadro 1" sheetId="24" r:id="rId2"/>
    <sheet name="Bocas del Toro" sheetId="132" r:id="rId3"/>
    <sheet name="Cuadro 2-Bocas del Toro" sheetId="29" r:id="rId4"/>
    <sheet name="Coclé" sheetId="133" r:id="rId5"/>
    <sheet name="Cuadro 3-Coclé" sheetId="116" r:id="rId6"/>
    <sheet name="Colón" sheetId="134" r:id="rId7"/>
    <sheet name="Cuadro 4-Colón" sheetId="117" r:id="rId8"/>
    <sheet name="Chiriquí" sheetId="135" r:id="rId9"/>
    <sheet name="Cuadro 5-Chiriquí" sheetId="118" r:id="rId10"/>
    <sheet name="Darién" sheetId="136" r:id="rId11"/>
    <sheet name="Cuadro 6-Darién" sheetId="119" r:id="rId12"/>
    <sheet name="Herrera" sheetId="137" r:id="rId13"/>
    <sheet name="Cuadro 7-Herrera" sheetId="120" r:id="rId14"/>
    <sheet name="Los Santos" sheetId="138" r:id="rId15"/>
    <sheet name="Cuadro 8-Los Santos" sheetId="121" r:id="rId16"/>
    <sheet name="Panamá" sheetId="139" r:id="rId17"/>
    <sheet name="Cuadro 9-Panamá" sheetId="122" r:id="rId18"/>
    <sheet name="Panamá Oeste" sheetId="140" r:id="rId19"/>
    <sheet name="Cuadro 10-Panamá Oeste" sheetId="123" r:id="rId20"/>
    <sheet name="Veraguas" sheetId="141" r:id="rId21"/>
    <sheet name="Cuadro 11-Veraguas" sheetId="124" r:id="rId22"/>
    <sheet name="Cuadro 12  2018" sheetId="44" r:id="rId23"/>
    <sheet name="Cuadro 13  2019" sheetId="100" r:id="rId24"/>
    <sheet name="Cuadro 14  2020" sheetId="101" r:id="rId25"/>
    <sheet name="Cuadro 15  2021" sheetId="102" r:id="rId26"/>
    <sheet name="Cuadro 16  2022" sheetId="103" r:id="rId27"/>
    <sheet name="Cuadro 17  2023" sheetId="131" r:id="rId28"/>
    <sheet name="Cuadro 18  2024" sheetId="142" r:id="rId29"/>
    <sheet name="Cuadro 19-PIB-Corriente 2018-24" sheetId="56" r:id="rId30"/>
    <sheet name="DATOS" sheetId="143" r:id="rId31"/>
    <sheet name="DICCIONARIO" sheetId="145" r:id="rId32"/>
  </sheets>
  <externalReferences>
    <externalReference r:id="rId33"/>
  </externalReferences>
  <definedNames>
    <definedName name="__123Graph_AGrßfico1" localSheetId="19" hidden="1">'[1]1'!#REF!</definedName>
    <definedName name="__123Graph_AGrßfico1" localSheetId="21" hidden="1">'[1]1'!#REF!</definedName>
    <definedName name="__123Graph_AGrßfico1" localSheetId="23" hidden="1">'[1]1'!#REF!</definedName>
    <definedName name="__123Graph_AGrßfico1" localSheetId="24" hidden="1">'[1]1'!#REF!</definedName>
    <definedName name="__123Graph_AGrßfico1" localSheetId="25" hidden="1">'[1]1'!#REF!</definedName>
    <definedName name="__123Graph_AGrßfico1" localSheetId="26" hidden="1">'[1]1'!#REF!</definedName>
    <definedName name="__123Graph_AGrßfico1" localSheetId="27" hidden="1">'[1]1'!#REF!</definedName>
    <definedName name="__123Graph_AGrßfico1" localSheetId="28" hidden="1">'[1]1'!#REF!</definedName>
    <definedName name="__123Graph_AGrßfico1" localSheetId="5" hidden="1">'[1]1'!#REF!</definedName>
    <definedName name="__123Graph_AGrßfico1" localSheetId="7" hidden="1">'[1]1'!#REF!</definedName>
    <definedName name="__123Graph_AGrßfico1" localSheetId="9" hidden="1">'[1]1'!#REF!</definedName>
    <definedName name="__123Graph_AGrßfico1" localSheetId="11" hidden="1">'[1]1'!#REF!</definedName>
    <definedName name="__123Graph_AGrßfico1" localSheetId="13" hidden="1">'[1]1'!#REF!</definedName>
    <definedName name="__123Graph_AGrßfico1" localSheetId="15" hidden="1">'[1]1'!#REF!</definedName>
    <definedName name="__123Graph_AGrßfico1" localSheetId="17" hidden="1">'[1]1'!#REF!</definedName>
    <definedName name="__123Graph_AGrßfico1" localSheetId="31" hidden="1">'[1]1'!#REF!</definedName>
    <definedName name="__123Graph_AGrßfico1" hidden="1">'[1]1'!#REF!</definedName>
    <definedName name="__123Graph_XGrßfico1" localSheetId="19" hidden="1">'[1]1'!#REF!</definedName>
    <definedName name="__123Graph_XGrßfico1" localSheetId="21" hidden="1">'[1]1'!#REF!</definedName>
    <definedName name="__123Graph_XGrßfico1" localSheetId="23" hidden="1">'[1]1'!#REF!</definedName>
    <definedName name="__123Graph_XGrßfico1" localSheetId="24" hidden="1">'[1]1'!#REF!</definedName>
    <definedName name="__123Graph_XGrßfico1" localSheetId="25" hidden="1">'[1]1'!#REF!</definedName>
    <definedName name="__123Graph_XGrßfico1" localSheetId="26" hidden="1">'[1]1'!#REF!</definedName>
    <definedName name="__123Graph_XGrßfico1" localSheetId="27" hidden="1">'[1]1'!#REF!</definedName>
    <definedName name="__123Graph_XGrßfico1" localSheetId="28" hidden="1">'[1]1'!#REF!</definedName>
    <definedName name="__123Graph_XGrßfico1" localSheetId="5" hidden="1">'[1]1'!#REF!</definedName>
    <definedName name="__123Graph_XGrßfico1" localSheetId="7" hidden="1">'[1]1'!#REF!</definedName>
    <definedName name="__123Graph_XGrßfico1" localSheetId="9" hidden="1">'[1]1'!#REF!</definedName>
    <definedName name="__123Graph_XGrßfico1" localSheetId="11" hidden="1">'[1]1'!#REF!</definedName>
    <definedName name="__123Graph_XGrßfico1" localSheetId="13" hidden="1">'[1]1'!#REF!</definedName>
    <definedName name="__123Graph_XGrßfico1" localSheetId="15" hidden="1">'[1]1'!#REF!</definedName>
    <definedName name="__123Graph_XGrßfico1" localSheetId="17" hidden="1">'[1]1'!#REF!</definedName>
    <definedName name="__123Graph_XGrßfico1" localSheetId="31" hidden="1">'[1]1'!#REF!</definedName>
    <definedName name="__123Graph_XGrßfico1" hidden="1">'[1]1'!#REF!</definedName>
    <definedName name="_xlnm._FilterDatabase" localSheetId="30" hidden="1">DATOS!$A$1:$G$1211</definedName>
    <definedName name="_xlnm._FilterDatabase" localSheetId="31" hidden="1">DICCIONARIO!$A$9:$B$9</definedName>
    <definedName name="_xlnm.Print_Area" localSheetId="2">'Bocas del Toro'!$A$1:$N$42</definedName>
    <definedName name="_xlnm.Print_Area" localSheetId="8">Chiriquí!$A$1:$N$42</definedName>
    <definedName name="_xlnm.Print_Area" localSheetId="4">Coclé!$A$1:$N$53</definedName>
    <definedName name="_xlnm.Print_Area" localSheetId="6">Colón!$A$1:$N$41</definedName>
    <definedName name="_xlnm.Print_Area" localSheetId="1">'Cuadro 1'!$A$1:$H$75</definedName>
    <definedName name="_xlnm.Print_Area" localSheetId="19">'Cuadro 10-Panamá Oeste'!$A$1:$I$83</definedName>
    <definedName name="_xlnm.Print_Area" localSheetId="21">'Cuadro 11-Veraguas'!$A$1:$I$83</definedName>
    <definedName name="_xlnm.Print_Area" localSheetId="22">'Cuadro 12  2018'!$A$1:$M$35</definedName>
    <definedName name="_xlnm.Print_Area" localSheetId="23">'Cuadro 13  2019'!$A$1:$M$35</definedName>
    <definedName name="_xlnm.Print_Area" localSheetId="24">'Cuadro 14  2020'!$A$1:$M$35</definedName>
    <definedName name="_xlnm.Print_Area" localSheetId="25">'Cuadro 15  2021'!$A$1:$M$35</definedName>
    <definedName name="_xlnm.Print_Area" localSheetId="26">'Cuadro 16  2022'!$A$1:$M$35</definedName>
    <definedName name="_xlnm.Print_Area" localSheetId="27">'Cuadro 17  2023'!$A$1:$M$36</definedName>
    <definedName name="_xlnm.Print_Area" localSheetId="28">'Cuadro 18  2024'!$A$1:$M$36</definedName>
    <definedName name="_xlnm.Print_Area" localSheetId="29">'Cuadro 19-PIB-Corriente 2018-24'!$A$1:$H$75</definedName>
    <definedName name="_xlnm.Print_Area" localSheetId="3">'Cuadro 2-Bocas del Toro'!$A$1:$I$83</definedName>
    <definedName name="_xlnm.Print_Area" localSheetId="5">'Cuadro 3-Coclé'!$A$1:$I$83</definedName>
    <definedName name="_xlnm.Print_Area" localSheetId="7">'Cuadro 4-Colón'!$A$1:$I$83</definedName>
    <definedName name="_xlnm.Print_Area" localSheetId="9">'Cuadro 5-Chiriquí'!$A$1:$I$83</definedName>
    <definedName name="_xlnm.Print_Area" localSheetId="11">'Cuadro 6-Darién'!$A$1:$I$83</definedName>
    <definedName name="_xlnm.Print_Area" localSheetId="13">'Cuadro 7-Herrera'!$A$1:$I$83</definedName>
    <definedName name="_xlnm.Print_Area" localSheetId="15">'Cuadro 8-Los Santos'!$A$1:$I$83</definedName>
    <definedName name="_xlnm.Print_Area" localSheetId="17">'Cuadro 9-Panamá'!$A$1:$I$83</definedName>
    <definedName name="_xlnm.Print_Area" localSheetId="10">Darién!$A$1:$N$53</definedName>
    <definedName name="_xlnm.Print_Area" localSheetId="12">Herrera!$A$1:$N$41</definedName>
    <definedName name="_xlnm.Print_Area" localSheetId="0">Índice!$B$2:$C$35</definedName>
    <definedName name="_xlnm.Print_Area" localSheetId="14">'Los Santos'!$A$1:$N$41</definedName>
    <definedName name="_xlnm.Print_Area" localSheetId="16">Panamá!$A$1:$N$41</definedName>
    <definedName name="_xlnm.Print_Area" localSheetId="18">'Panamá Oeste'!$A$1:$N$42</definedName>
    <definedName name="_xlnm.Print_Area" localSheetId="20">Veraguas!$A$1:$N$54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4" l="1"/>
  <c r="B8" i="24"/>
  <c r="F52" i="56"/>
  <c r="H62" i="56"/>
  <c r="G62" i="56"/>
  <c r="F62" i="56"/>
  <c r="E62" i="56"/>
  <c r="D62" i="56"/>
  <c r="C62" i="56"/>
  <c r="B62" i="56"/>
  <c r="H61" i="56"/>
  <c r="G61" i="56"/>
  <c r="F61" i="56"/>
  <c r="E61" i="56"/>
  <c r="D61" i="56"/>
  <c r="C61" i="56"/>
  <c r="B61" i="56"/>
  <c r="H60" i="56"/>
  <c r="G60" i="56"/>
  <c r="F60" i="56"/>
  <c r="E60" i="56"/>
  <c r="D60" i="56"/>
  <c r="C60" i="56"/>
  <c r="B60" i="56"/>
  <c r="H59" i="56"/>
  <c r="G59" i="56"/>
  <c r="F59" i="56"/>
  <c r="E59" i="56"/>
  <c r="D59" i="56"/>
  <c r="C59" i="56"/>
  <c r="B59" i="56"/>
  <c r="H58" i="56"/>
  <c r="G58" i="56"/>
  <c r="F58" i="56"/>
  <c r="E58" i="56"/>
  <c r="D58" i="56"/>
  <c r="C58" i="56"/>
  <c r="B58" i="56"/>
  <c r="H57" i="56"/>
  <c r="G57" i="56"/>
  <c r="F57" i="56"/>
  <c r="E57" i="56"/>
  <c r="D57" i="56"/>
  <c r="C57" i="56"/>
  <c r="B57" i="56"/>
  <c r="H56" i="56"/>
  <c r="G56" i="56"/>
  <c r="F56" i="56"/>
  <c r="E56" i="56"/>
  <c r="D56" i="56"/>
  <c r="C56" i="56"/>
  <c r="B56" i="56"/>
  <c r="H55" i="56"/>
  <c r="G55" i="56"/>
  <c r="F55" i="56"/>
  <c r="E55" i="56"/>
  <c r="D55" i="56"/>
  <c r="C55" i="56"/>
  <c r="B55" i="56"/>
  <c r="H54" i="56"/>
  <c r="G54" i="56"/>
  <c r="F54" i="56"/>
  <c r="E54" i="56"/>
  <c r="D54" i="56"/>
  <c r="C54" i="56"/>
  <c r="B54" i="56"/>
  <c r="H53" i="56"/>
  <c r="G53" i="56"/>
  <c r="F53" i="56"/>
  <c r="E53" i="56"/>
  <c r="D53" i="56"/>
  <c r="C53" i="56"/>
  <c r="B53" i="56"/>
  <c r="H52" i="56"/>
  <c r="G52" i="56"/>
  <c r="E52" i="56"/>
  <c r="D52" i="56"/>
  <c r="C52" i="56"/>
  <c r="B52" i="56"/>
  <c r="H17" i="56"/>
  <c r="G17" i="56"/>
  <c r="F17" i="56"/>
  <c r="E17" i="56"/>
  <c r="D17" i="56"/>
  <c r="C17" i="56"/>
  <c r="B17" i="56"/>
  <c r="H16" i="56"/>
  <c r="G16" i="56"/>
  <c r="F16" i="56"/>
  <c r="E16" i="56"/>
  <c r="D16" i="56"/>
  <c r="C16" i="56"/>
  <c r="B16" i="56"/>
  <c r="H15" i="56"/>
  <c r="G15" i="56"/>
  <c r="F15" i="56"/>
  <c r="E15" i="56"/>
  <c r="D15" i="56"/>
  <c r="C15" i="56"/>
  <c r="B15" i="56"/>
  <c r="H14" i="56"/>
  <c r="G14" i="56"/>
  <c r="F14" i="56"/>
  <c r="E14" i="56"/>
  <c r="D14" i="56"/>
  <c r="C14" i="56"/>
  <c r="B14" i="56"/>
  <c r="H13" i="56"/>
  <c r="G13" i="56"/>
  <c r="F13" i="56"/>
  <c r="E13" i="56"/>
  <c r="D13" i="56"/>
  <c r="C13" i="56"/>
  <c r="B13" i="56"/>
  <c r="H12" i="56"/>
  <c r="G12" i="56"/>
  <c r="F12" i="56"/>
  <c r="E12" i="56"/>
  <c r="D12" i="56"/>
  <c r="C12" i="56"/>
  <c r="B12" i="56"/>
  <c r="H11" i="56"/>
  <c r="G11" i="56"/>
  <c r="F11" i="56"/>
  <c r="E11" i="56"/>
  <c r="D11" i="56"/>
  <c r="C11" i="56"/>
  <c r="B11" i="56"/>
  <c r="H10" i="56"/>
  <c r="G10" i="56"/>
  <c r="F10" i="56"/>
  <c r="E10" i="56"/>
  <c r="D10" i="56"/>
  <c r="C10" i="56"/>
  <c r="B10" i="56"/>
  <c r="H9" i="56"/>
  <c r="G9" i="56"/>
  <c r="F9" i="56"/>
  <c r="E9" i="56"/>
  <c r="D9" i="56"/>
  <c r="C9" i="56"/>
  <c r="B9" i="56"/>
  <c r="H8" i="56"/>
  <c r="G8" i="56"/>
  <c r="F8" i="56"/>
  <c r="E8" i="56"/>
  <c r="D8" i="56"/>
  <c r="C8" i="56"/>
  <c r="B8" i="56"/>
  <c r="H7" i="56"/>
  <c r="G7" i="56"/>
  <c r="F7" i="56"/>
  <c r="E7" i="56"/>
  <c r="D7" i="56"/>
  <c r="C7" i="56"/>
  <c r="B7" i="56"/>
  <c r="H39" i="56"/>
  <c r="H47" i="56"/>
  <c r="C39" i="56"/>
  <c r="D40" i="56"/>
  <c r="E41" i="56"/>
  <c r="C47" i="56"/>
  <c r="H40" i="56"/>
  <c r="C44" i="56"/>
  <c r="D45" i="56"/>
  <c r="E46" i="56"/>
  <c r="C38" i="56"/>
  <c r="E38" i="56"/>
  <c r="D37" i="56"/>
  <c r="H37" i="56"/>
  <c r="C41" i="56"/>
  <c r="D42" i="56"/>
  <c r="E43" i="56"/>
  <c r="H45" i="56"/>
  <c r="D39" i="56"/>
  <c r="E40" i="56"/>
  <c r="H42" i="56"/>
  <c r="C46" i="56"/>
  <c r="D47" i="56"/>
  <c r="E37" i="56"/>
  <c r="C43" i="56"/>
  <c r="D44" i="56"/>
  <c r="E45" i="56"/>
  <c r="H38" i="56"/>
  <c r="C42" i="56"/>
  <c r="D43" i="56"/>
  <c r="E44" i="56"/>
  <c r="H46" i="56"/>
  <c r="C40" i="56"/>
  <c r="D41" i="56"/>
  <c r="E42" i="56"/>
  <c r="H44" i="56"/>
  <c r="H43" i="56"/>
  <c r="C37" i="56"/>
  <c r="D38" i="56"/>
  <c r="E39" i="56"/>
  <c r="H41" i="56"/>
  <c r="C45" i="56"/>
  <c r="D46" i="56"/>
  <c r="E47" i="56"/>
  <c r="G38" i="56"/>
  <c r="F38" i="56"/>
  <c r="G47" i="56"/>
  <c r="F47" i="56"/>
  <c r="F45" i="56"/>
  <c r="G45" i="56"/>
  <c r="F41" i="56"/>
  <c r="G41" i="56"/>
  <c r="G43" i="56"/>
  <c r="F43" i="56"/>
  <c r="F46" i="56"/>
  <c r="G46" i="56"/>
  <c r="F37" i="56"/>
  <c r="G37" i="56"/>
  <c r="G39" i="56"/>
  <c r="F39" i="56"/>
  <c r="F42" i="56"/>
  <c r="G42" i="56"/>
  <c r="G44" i="56"/>
  <c r="F44" i="56"/>
  <c r="F40" i="56"/>
  <c r="G40" i="56"/>
  <c r="I25" i="124"/>
  <c r="H25" i="124"/>
  <c r="G25" i="124"/>
  <c r="F25" i="124"/>
  <c r="E25" i="124"/>
  <c r="D25" i="124"/>
  <c r="C25" i="124"/>
  <c r="I24" i="124"/>
  <c r="H24" i="124"/>
  <c r="G24" i="124"/>
  <c r="F24" i="124"/>
  <c r="E24" i="124"/>
  <c r="D24" i="124"/>
  <c r="C24" i="124"/>
  <c r="I23" i="124"/>
  <c r="H23" i="124"/>
  <c r="G23" i="124"/>
  <c r="F23" i="124"/>
  <c r="E23" i="124"/>
  <c r="D23" i="124"/>
  <c r="C23" i="124"/>
  <c r="I22" i="124"/>
  <c r="H22" i="124"/>
  <c r="G22" i="124"/>
  <c r="F22" i="124"/>
  <c r="E22" i="124"/>
  <c r="D22" i="124"/>
  <c r="C22" i="124"/>
  <c r="I21" i="124"/>
  <c r="H21" i="124"/>
  <c r="G21" i="124"/>
  <c r="F21" i="124"/>
  <c r="E21" i="124"/>
  <c r="D21" i="124"/>
  <c r="C21" i="124"/>
  <c r="I20" i="124"/>
  <c r="H20" i="124"/>
  <c r="G20" i="124"/>
  <c r="F20" i="124"/>
  <c r="E20" i="124"/>
  <c r="D20" i="124"/>
  <c r="C20" i="124"/>
  <c r="I19" i="124"/>
  <c r="H19" i="124"/>
  <c r="G19" i="124"/>
  <c r="F19" i="124"/>
  <c r="E19" i="124"/>
  <c r="D19" i="124"/>
  <c r="C19" i="124"/>
  <c r="I18" i="124"/>
  <c r="H18" i="124"/>
  <c r="G18" i="124"/>
  <c r="F18" i="124"/>
  <c r="E18" i="124"/>
  <c r="D18" i="124"/>
  <c r="C18" i="124"/>
  <c r="I17" i="124"/>
  <c r="H17" i="124"/>
  <c r="G17" i="124"/>
  <c r="F17" i="124"/>
  <c r="E17" i="124"/>
  <c r="D17" i="124"/>
  <c r="C17" i="124"/>
  <c r="I16" i="124"/>
  <c r="H16" i="124"/>
  <c r="G16" i="124"/>
  <c r="F16" i="124"/>
  <c r="E16" i="124"/>
  <c r="D16" i="124"/>
  <c r="C16" i="124"/>
  <c r="I15" i="124"/>
  <c r="H15" i="124"/>
  <c r="G15" i="124"/>
  <c r="F15" i="124"/>
  <c r="E15" i="124"/>
  <c r="D15" i="124"/>
  <c r="C15" i="124"/>
  <c r="I14" i="124"/>
  <c r="H14" i="124"/>
  <c r="G14" i="124"/>
  <c r="F14" i="124"/>
  <c r="E14" i="124"/>
  <c r="D14" i="124"/>
  <c r="C14" i="124"/>
  <c r="I13" i="124"/>
  <c r="H13" i="124"/>
  <c r="G13" i="124"/>
  <c r="F13" i="124"/>
  <c r="E13" i="124"/>
  <c r="D13" i="124"/>
  <c r="C13" i="124"/>
  <c r="I12" i="124"/>
  <c r="H12" i="124"/>
  <c r="G12" i="124"/>
  <c r="F12" i="124"/>
  <c r="E12" i="124"/>
  <c r="D12" i="124"/>
  <c r="C12" i="124"/>
  <c r="I11" i="124"/>
  <c r="H11" i="124"/>
  <c r="G11" i="124"/>
  <c r="F11" i="124"/>
  <c r="E11" i="124"/>
  <c r="D11" i="124"/>
  <c r="C11" i="124"/>
  <c r="I10" i="124"/>
  <c r="H10" i="124"/>
  <c r="G10" i="124"/>
  <c r="F10" i="124"/>
  <c r="E10" i="124"/>
  <c r="D10" i="124"/>
  <c r="C10" i="124"/>
  <c r="I9" i="124"/>
  <c r="H9" i="124"/>
  <c r="G9" i="124"/>
  <c r="F9" i="124"/>
  <c r="E9" i="124"/>
  <c r="D9" i="124"/>
  <c r="C9" i="124"/>
  <c r="I8" i="124"/>
  <c r="H8" i="124"/>
  <c r="G8" i="124"/>
  <c r="F8" i="124"/>
  <c r="E8" i="124"/>
  <c r="D8" i="124"/>
  <c r="C8" i="124"/>
  <c r="I7" i="124"/>
  <c r="H7" i="124"/>
  <c r="G7" i="124"/>
  <c r="F7" i="124"/>
  <c r="E7" i="124"/>
  <c r="D7" i="124"/>
  <c r="C7" i="124"/>
  <c r="I25" i="123"/>
  <c r="H25" i="123"/>
  <c r="G25" i="123"/>
  <c r="F25" i="123"/>
  <c r="E25" i="123"/>
  <c r="D25" i="123"/>
  <c r="C25" i="123"/>
  <c r="I24" i="123"/>
  <c r="H24" i="123"/>
  <c r="G24" i="123"/>
  <c r="F24" i="123"/>
  <c r="E24" i="123"/>
  <c r="D24" i="123"/>
  <c r="C24" i="123"/>
  <c r="I23" i="123"/>
  <c r="H23" i="123"/>
  <c r="G23" i="123"/>
  <c r="F23" i="123"/>
  <c r="E23" i="123"/>
  <c r="D23" i="123"/>
  <c r="C23" i="123"/>
  <c r="I22" i="123"/>
  <c r="H22" i="123"/>
  <c r="G22" i="123"/>
  <c r="F22" i="123"/>
  <c r="E22" i="123"/>
  <c r="D22" i="123"/>
  <c r="C22" i="123"/>
  <c r="I21" i="123"/>
  <c r="H21" i="123"/>
  <c r="G21" i="123"/>
  <c r="F21" i="123"/>
  <c r="E21" i="123"/>
  <c r="D21" i="123"/>
  <c r="C21" i="123"/>
  <c r="I20" i="123"/>
  <c r="H20" i="123"/>
  <c r="G20" i="123"/>
  <c r="F20" i="123"/>
  <c r="E20" i="123"/>
  <c r="D20" i="123"/>
  <c r="C20" i="123"/>
  <c r="I19" i="123"/>
  <c r="H19" i="123"/>
  <c r="G19" i="123"/>
  <c r="F19" i="123"/>
  <c r="E19" i="123"/>
  <c r="D19" i="123"/>
  <c r="C19" i="123"/>
  <c r="I18" i="123"/>
  <c r="H18" i="123"/>
  <c r="G18" i="123"/>
  <c r="F18" i="123"/>
  <c r="E18" i="123"/>
  <c r="D18" i="123"/>
  <c r="C18" i="123"/>
  <c r="I17" i="123"/>
  <c r="H17" i="123"/>
  <c r="G17" i="123"/>
  <c r="F17" i="123"/>
  <c r="E17" i="123"/>
  <c r="D17" i="123"/>
  <c r="C17" i="123"/>
  <c r="I16" i="123"/>
  <c r="H16" i="123"/>
  <c r="G16" i="123"/>
  <c r="F16" i="123"/>
  <c r="E16" i="123"/>
  <c r="D16" i="123"/>
  <c r="C16" i="123"/>
  <c r="I15" i="123"/>
  <c r="H15" i="123"/>
  <c r="G15" i="123"/>
  <c r="F15" i="123"/>
  <c r="E15" i="123"/>
  <c r="D15" i="123"/>
  <c r="C15" i="123"/>
  <c r="I14" i="123"/>
  <c r="H14" i="123"/>
  <c r="G14" i="123"/>
  <c r="F14" i="123"/>
  <c r="E14" i="123"/>
  <c r="D14" i="123"/>
  <c r="C14" i="123"/>
  <c r="I13" i="123"/>
  <c r="H13" i="123"/>
  <c r="G13" i="123"/>
  <c r="F13" i="123"/>
  <c r="E13" i="123"/>
  <c r="D13" i="123"/>
  <c r="C13" i="123"/>
  <c r="I12" i="123"/>
  <c r="H12" i="123"/>
  <c r="G12" i="123"/>
  <c r="F12" i="123"/>
  <c r="E12" i="123"/>
  <c r="D12" i="123"/>
  <c r="C12" i="123"/>
  <c r="I11" i="123"/>
  <c r="H11" i="123"/>
  <c r="G11" i="123"/>
  <c r="F11" i="123"/>
  <c r="E11" i="123"/>
  <c r="D11" i="123"/>
  <c r="C11" i="123"/>
  <c r="I10" i="123"/>
  <c r="H10" i="123"/>
  <c r="G10" i="123"/>
  <c r="F10" i="123"/>
  <c r="E10" i="123"/>
  <c r="D10" i="123"/>
  <c r="C10" i="123"/>
  <c r="I9" i="123"/>
  <c r="H9" i="123"/>
  <c r="G9" i="123"/>
  <c r="F9" i="123"/>
  <c r="E9" i="123"/>
  <c r="D9" i="123"/>
  <c r="C9" i="123"/>
  <c r="I8" i="123"/>
  <c r="H8" i="123"/>
  <c r="G8" i="123"/>
  <c r="F8" i="123"/>
  <c r="E8" i="123"/>
  <c r="D8" i="123"/>
  <c r="C8" i="123"/>
  <c r="I7" i="123"/>
  <c r="H7" i="123"/>
  <c r="G7" i="123"/>
  <c r="F7" i="123"/>
  <c r="E7" i="123"/>
  <c r="D7" i="123"/>
  <c r="C7" i="123"/>
  <c r="I25" i="122"/>
  <c r="H25" i="122"/>
  <c r="G25" i="122"/>
  <c r="F25" i="122"/>
  <c r="E25" i="122"/>
  <c r="D25" i="122"/>
  <c r="C25" i="122"/>
  <c r="I24" i="122"/>
  <c r="H24" i="122"/>
  <c r="G24" i="122"/>
  <c r="F24" i="122"/>
  <c r="E24" i="122"/>
  <c r="D24" i="122"/>
  <c r="C24" i="122"/>
  <c r="I23" i="122"/>
  <c r="H23" i="122"/>
  <c r="G23" i="122"/>
  <c r="F23" i="122"/>
  <c r="E23" i="122"/>
  <c r="D23" i="122"/>
  <c r="C23" i="122"/>
  <c r="I22" i="122"/>
  <c r="H22" i="122"/>
  <c r="G22" i="122"/>
  <c r="F22" i="122"/>
  <c r="E22" i="122"/>
  <c r="D22" i="122"/>
  <c r="C22" i="122"/>
  <c r="I21" i="122"/>
  <c r="H21" i="122"/>
  <c r="G21" i="122"/>
  <c r="F21" i="122"/>
  <c r="E21" i="122"/>
  <c r="D21" i="122"/>
  <c r="C21" i="122"/>
  <c r="I20" i="122"/>
  <c r="H20" i="122"/>
  <c r="G20" i="122"/>
  <c r="F20" i="122"/>
  <c r="E20" i="122"/>
  <c r="D20" i="122"/>
  <c r="C20" i="122"/>
  <c r="I19" i="122"/>
  <c r="H19" i="122"/>
  <c r="G19" i="122"/>
  <c r="F19" i="122"/>
  <c r="E19" i="122"/>
  <c r="D19" i="122"/>
  <c r="C19" i="122"/>
  <c r="I18" i="122"/>
  <c r="H18" i="122"/>
  <c r="G18" i="122"/>
  <c r="F18" i="122"/>
  <c r="E18" i="122"/>
  <c r="D18" i="122"/>
  <c r="C18" i="122"/>
  <c r="I17" i="122"/>
  <c r="H17" i="122"/>
  <c r="G17" i="122"/>
  <c r="F17" i="122"/>
  <c r="E17" i="122"/>
  <c r="D17" i="122"/>
  <c r="C17" i="122"/>
  <c r="I16" i="122"/>
  <c r="H16" i="122"/>
  <c r="G16" i="122"/>
  <c r="F16" i="122"/>
  <c r="E16" i="122"/>
  <c r="D16" i="122"/>
  <c r="C16" i="122"/>
  <c r="I15" i="122"/>
  <c r="H15" i="122"/>
  <c r="G15" i="122"/>
  <c r="F15" i="122"/>
  <c r="E15" i="122"/>
  <c r="D15" i="122"/>
  <c r="C15" i="122"/>
  <c r="I14" i="122"/>
  <c r="H14" i="122"/>
  <c r="G14" i="122"/>
  <c r="F14" i="122"/>
  <c r="E14" i="122"/>
  <c r="D14" i="122"/>
  <c r="C14" i="122"/>
  <c r="I13" i="122"/>
  <c r="H13" i="122"/>
  <c r="G13" i="122"/>
  <c r="F13" i="122"/>
  <c r="E13" i="122"/>
  <c r="D13" i="122"/>
  <c r="C13" i="122"/>
  <c r="I12" i="122"/>
  <c r="H12" i="122"/>
  <c r="G12" i="122"/>
  <c r="F12" i="122"/>
  <c r="E12" i="122"/>
  <c r="D12" i="122"/>
  <c r="C12" i="122"/>
  <c r="I11" i="122"/>
  <c r="H11" i="122"/>
  <c r="G11" i="122"/>
  <c r="F11" i="122"/>
  <c r="E11" i="122"/>
  <c r="D11" i="122"/>
  <c r="C11" i="122"/>
  <c r="I10" i="122"/>
  <c r="H10" i="122"/>
  <c r="G10" i="122"/>
  <c r="F10" i="122"/>
  <c r="E10" i="122"/>
  <c r="D10" i="122"/>
  <c r="C10" i="122"/>
  <c r="I9" i="122"/>
  <c r="H9" i="122"/>
  <c r="G9" i="122"/>
  <c r="F9" i="122"/>
  <c r="E9" i="122"/>
  <c r="D9" i="122"/>
  <c r="C9" i="122"/>
  <c r="I8" i="122"/>
  <c r="H8" i="122"/>
  <c r="G8" i="122"/>
  <c r="G31" i="122"/>
  <c r="F8" i="122"/>
  <c r="E8" i="122"/>
  <c r="D8" i="122"/>
  <c r="C8" i="122"/>
  <c r="I7" i="122"/>
  <c r="H7" i="122"/>
  <c r="G7" i="122"/>
  <c r="F7" i="122"/>
  <c r="E7" i="122"/>
  <c r="D7" i="122"/>
  <c r="C7" i="122"/>
  <c r="I25" i="121"/>
  <c r="H25" i="121"/>
  <c r="G25" i="121"/>
  <c r="F25" i="121"/>
  <c r="E25" i="121"/>
  <c r="D25" i="121"/>
  <c r="C25" i="121"/>
  <c r="I24" i="121"/>
  <c r="H24" i="121"/>
  <c r="G24" i="121"/>
  <c r="F24" i="121"/>
  <c r="E24" i="121"/>
  <c r="D24" i="121"/>
  <c r="C24" i="121"/>
  <c r="I23" i="121"/>
  <c r="H23" i="121"/>
  <c r="G23" i="121"/>
  <c r="F23" i="121"/>
  <c r="E23" i="121"/>
  <c r="D23" i="121"/>
  <c r="C23" i="121"/>
  <c r="I22" i="121"/>
  <c r="H22" i="121"/>
  <c r="G22" i="121"/>
  <c r="F22" i="121"/>
  <c r="E22" i="121"/>
  <c r="D22" i="121"/>
  <c r="C22" i="121"/>
  <c r="I21" i="121"/>
  <c r="H21" i="121"/>
  <c r="G21" i="121"/>
  <c r="F21" i="121"/>
  <c r="E21" i="121"/>
  <c r="D21" i="121"/>
  <c r="C21" i="121"/>
  <c r="I20" i="121"/>
  <c r="H20" i="121"/>
  <c r="G20" i="121"/>
  <c r="F20" i="121"/>
  <c r="E20" i="121"/>
  <c r="D20" i="121"/>
  <c r="C20" i="121"/>
  <c r="I19" i="121"/>
  <c r="H19" i="121"/>
  <c r="G19" i="121"/>
  <c r="F19" i="121"/>
  <c r="E19" i="121"/>
  <c r="D19" i="121"/>
  <c r="C19" i="121"/>
  <c r="I18" i="121"/>
  <c r="H18" i="121"/>
  <c r="G18" i="121"/>
  <c r="F18" i="121"/>
  <c r="E18" i="121"/>
  <c r="D18" i="121"/>
  <c r="C18" i="121"/>
  <c r="I17" i="121"/>
  <c r="H17" i="121"/>
  <c r="G17" i="121"/>
  <c r="F17" i="121"/>
  <c r="E17" i="121"/>
  <c r="D17" i="121"/>
  <c r="C17" i="121"/>
  <c r="I16" i="121"/>
  <c r="H16" i="121"/>
  <c r="G16" i="121"/>
  <c r="F16" i="121"/>
  <c r="E16" i="121"/>
  <c r="D16" i="121"/>
  <c r="C16" i="121"/>
  <c r="I15" i="121"/>
  <c r="H15" i="121"/>
  <c r="G15" i="121"/>
  <c r="F15" i="121"/>
  <c r="E15" i="121"/>
  <c r="D15" i="121"/>
  <c r="C15" i="121"/>
  <c r="I14" i="121"/>
  <c r="H14" i="121"/>
  <c r="G14" i="121"/>
  <c r="F14" i="121"/>
  <c r="E14" i="121"/>
  <c r="D14" i="121"/>
  <c r="C14" i="121"/>
  <c r="I13" i="121"/>
  <c r="H13" i="121"/>
  <c r="G13" i="121"/>
  <c r="F13" i="121"/>
  <c r="E13" i="121"/>
  <c r="D13" i="121"/>
  <c r="C13" i="121"/>
  <c r="I12" i="121"/>
  <c r="H12" i="121"/>
  <c r="G12" i="121"/>
  <c r="F12" i="121"/>
  <c r="E12" i="121"/>
  <c r="D12" i="121"/>
  <c r="C12" i="121"/>
  <c r="I11" i="121"/>
  <c r="H11" i="121"/>
  <c r="G11" i="121"/>
  <c r="F11" i="121"/>
  <c r="E11" i="121"/>
  <c r="D11" i="121"/>
  <c r="C11" i="121"/>
  <c r="I10" i="121"/>
  <c r="H10" i="121"/>
  <c r="G10" i="121"/>
  <c r="F10" i="121"/>
  <c r="E10" i="121"/>
  <c r="D10" i="121"/>
  <c r="C10" i="121"/>
  <c r="I9" i="121"/>
  <c r="H9" i="121"/>
  <c r="G9" i="121"/>
  <c r="F9" i="121"/>
  <c r="E9" i="121"/>
  <c r="D9" i="121"/>
  <c r="C9" i="121"/>
  <c r="I8" i="121"/>
  <c r="H8" i="121"/>
  <c r="G8" i="121"/>
  <c r="F8" i="121"/>
  <c r="E8" i="121"/>
  <c r="D8" i="121"/>
  <c r="C8" i="121"/>
  <c r="I7" i="121"/>
  <c r="H7" i="121"/>
  <c r="G7" i="121"/>
  <c r="F7" i="121"/>
  <c r="E7" i="121"/>
  <c r="D7" i="121"/>
  <c r="C7" i="121"/>
  <c r="I25" i="120"/>
  <c r="H25" i="120"/>
  <c r="G25" i="120"/>
  <c r="F25" i="120"/>
  <c r="E25" i="120"/>
  <c r="D25" i="120"/>
  <c r="C25" i="120"/>
  <c r="I24" i="120"/>
  <c r="H24" i="120"/>
  <c r="G24" i="120"/>
  <c r="F24" i="120"/>
  <c r="E24" i="120"/>
  <c r="D24" i="120"/>
  <c r="C24" i="120"/>
  <c r="I23" i="120"/>
  <c r="H23" i="120"/>
  <c r="G23" i="120"/>
  <c r="F23" i="120"/>
  <c r="E23" i="120"/>
  <c r="D23" i="120"/>
  <c r="C23" i="120"/>
  <c r="I22" i="120"/>
  <c r="H22" i="120"/>
  <c r="G22" i="120"/>
  <c r="F22" i="120"/>
  <c r="E22" i="120"/>
  <c r="D22" i="120"/>
  <c r="C22" i="120"/>
  <c r="I21" i="120"/>
  <c r="H21" i="120"/>
  <c r="G21" i="120"/>
  <c r="F21" i="120"/>
  <c r="E21" i="120"/>
  <c r="D21" i="120"/>
  <c r="C21" i="120"/>
  <c r="I20" i="120"/>
  <c r="H20" i="120"/>
  <c r="G20" i="120"/>
  <c r="F20" i="120"/>
  <c r="E20" i="120"/>
  <c r="D20" i="120"/>
  <c r="C20" i="120"/>
  <c r="I19" i="120"/>
  <c r="H19" i="120"/>
  <c r="G19" i="120"/>
  <c r="F19" i="120"/>
  <c r="E19" i="120"/>
  <c r="D19" i="120"/>
  <c r="C19" i="120"/>
  <c r="I18" i="120"/>
  <c r="H18" i="120"/>
  <c r="G18" i="120"/>
  <c r="F18" i="120"/>
  <c r="E18" i="120"/>
  <c r="D18" i="120"/>
  <c r="C18" i="120"/>
  <c r="I17" i="120"/>
  <c r="H17" i="120"/>
  <c r="G17" i="120"/>
  <c r="F17" i="120"/>
  <c r="E17" i="120"/>
  <c r="D17" i="120"/>
  <c r="C17" i="120"/>
  <c r="I16" i="120"/>
  <c r="H16" i="120"/>
  <c r="G16" i="120"/>
  <c r="F16" i="120"/>
  <c r="E16" i="120"/>
  <c r="D16" i="120"/>
  <c r="C16" i="120"/>
  <c r="I15" i="120"/>
  <c r="H15" i="120"/>
  <c r="G15" i="120"/>
  <c r="F15" i="120"/>
  <c r="E15" i="120"/>
  <c r="D15" i="120"/>
  <c r="C15" i="120"/>
  <c r="I14" i="120"/>
  <c r="H14" i="120"/>
  <c r="G14" i="120"/>
  <c r="F14" i="120"/>
  <c r="E14" i="120"/>
  <c r="D14" i="120"/>
  <c r="C14" i="120"/>
  <c r="I13" i="120"/>
  <c r="H13" i="120"/>
  <c r="G13" i="120"/>
  <c r="F13" i="120"/>
  <c r="E13" i="120"/>
  <c r="D13" i="120"/>
  <c r="C13" i="120"/>
  <c r="I12" i="120"/>
  <c r="H12" i="120"/>
  <c r="G12" i="120"/>
  <c r="F12" i="120"/>
  <c r="E12" i="120"/>
  <c r="D12" i="120"/>
  <c r="C12" i="120"/>
  <c r="I11" i="120"/>
  <c r="H11" i="120"/>
  <c r="H34" i="120"/>
  <c r="G11" i="120"/>
  <c r="F11" i="120"/>
  <c r="E11" i="120"/>
  <c r="D11" i="120"/>
  <c r="C11" i="120"/>
  <c r="I10" i="120"/>
  <c r="H10" i="120"/>
  <c r="G10" i="120"/>
  <c r="F10" i="120"/>
  <c r="E10" i="120"/>
  <c r="D10" i="120"/>
  <c r="C10" i="120"/>
  <c r="I9" i="120"/>
  <c r="H9" i="120"/>
  <c r="G9" i="120"/>
  <c r="F9" i="120"/>
  <c r="E9" i="120"/>
  <c r="D9" i="120"/>
  <c r="C9" i="120"/>
  <c r="I8" i="120"/>
  <c r="H8" i="120"/>
  <c r="I54" i="120"/>
  <c r="G8" i="120"/>
  <c r="F8" i="120"/>
  <c r="E8" i="120"/>
  <c r="D8" i="120"/>
  <c r="C8" i="120"/>
  <c r="I7" i="120"/>
  <c r="H7" i="120"/>
  <c r="G7" i="120"/>
  <c r="F7" i="120"/>
  <c r="E7" i="120"/>
  <c r="D7" i="120"/>
  <c r="C7" i="120"/>
  <c r="I25" i="119"/>
  <c r="H25" i="119"/>
  <c r="G25" i="119"/>
  <c r="F25" i="119"/>
  <c r="E25" i="119"/>
  <c r="D25" i="119"/>
  <c r="C25" i="119"/>
  <c r="I24" i="119"/>
  <c r="H24" i="119"/>
  <c r="G24" i="119"/>
  <c r="F24" i="119"/>
  <c r="E24" i="119"/>
  <c r="D24" i="119"/>
  <c r="C24" i="119"/>
  <c r="I23" i="119"/>
  <c r="H23" i="119"/>
  <c r="G23" i="119"/>
  <c r="F23" i="119"/>
  <c r="E23" i="119"/>
  <c r="D23" i="119"/>
  <c r="C23" i="119"/>
  <c r="I22" i="119"/>
  <c r="H22" i="119"/>
  <c r="G22" i="119"/>
  <c r="F22" i="119"/>
  <c r="E22" i="119"/>
  <c r="D22" i="119"/>
  <c r="C22" i="119"/>
  <c r="I21" i="119"/>
  <c r="H21" i="119"/>
  <c r="G21" i="119"/>
  <c r="F21" i="119"/>
  <c r="E21" i="119"/>
  <c r="D21" i="119"/>
  <c r="C21" i="119"/>
  <c r="I20" i="119"/>
  <c r="H20" i="119"/>
  <c r="G20" i="119"/>
  <c r="F20" i="119"/>
  <c r="E20" i="119"/>
  <c r="D20" i="119"/>
  <c r="C20" i="119"/>
  <c r="I19" i="119"/>
  <c r="H19" i="119"/>
  <c r="G19" i="119"/>
  <c r="F19" i="119"/>
  <c r="E19" i="119"/>
  <c r="D19" i="119"/>
  <c r="C19" i="119"/>
  <c r="I18" i="119"/>
  <c r="H18" i="119"/>
  <c r="G18" i="119"/>
  <c r="F18" i="119"/>
  <c r="E18" i="119"/>
  <c r="D18" i="119"/>
  <c r="C18" i="119"/>
  <c r="I17" i="119"/>
  <c r="H17" i="119"/>
  <c r="G17" i="119"/>
  <c r="F17" i="119"/>
  <c r="E17" i="119"/>
  <c r="D17" i="119"/>
  <c r="C17" i="119"/>
  <c r="I16" i="119"/>
  <c r="H16" i="119"/>
  <c r="G16" i="119"/>
  <c r="F16" i="119"/>
  <c r="E16" i="119"/>
  <c r="D16" i="119"/>
  <c r="C16" i="119"/>
  <c r="I15" i="119"/>
  <c r="H15" i="119"/>
  <c r="G15" i="119"/>
  <c r="F15" i="119"/>
  <c r="E15" i="119"/>
  <c r="D15" i="119"/>
  <c r="C15" i="119"/>
  <c r="I14" i="119"/>
  <c r="H14" i="119"/>
  <c r="G14" i="119"/>
  <c r="F14" i="119"/>
  <c r="E14" i="119"/>
  <c r="D14" i="119"/>
  <c r="C14" i="119"/>
  <c r="I13" i="119"/>
  <c r="H13" i="119"/>
  <c r="G13" i="119"/>
  <c r="F13" i="119"/>
  <c r="E13" i="119"/>
  <c r="D13" i="119"/>
  <c r="C13" i="119"/>
  <c r="I12" i="119"/>
  <c r="H12" i="119"/>
  <c r="G12" i="119"/>
  <c r="F12" i="119"/>
  <c r="E12" i="119"/>
  <c r="D12" i="119"/>
  <c r="C12" i="119"/>
  <c r="I11" i="119"/>
  <c r="H11" i="119"/>
  <c r="G11" i="119"/>
  <c r="F11" i="119"/>
  <c r="E11" i="119"/>
  <c r="D11" i="119"/>
  <c r="C11" i="119"/>
  <c r="I10" i="119"/>
  <c r="H10" i="119"/>
  <c r="G10" i="119"/>
  <c r="F10" i="119"/>
  <c r="E10" i="119"/>
  <c r="D10" i="119"/>
  <c r="C10" i="119"/>
  <c r="I9" i="119"/>
  <c r="H9" i="119"/>
  <c r="G9" i="119"/>
  <c r="F9" i="119"/>
  <c r="E9" i="119"/>
  <c r="D9" i="119"/>
  <c r="C9" i="119"/>
  <c r="I8" i="119"/>
  <c r="H8" i="119"/>
  <c r="G8" i="119"/>
  <c r="F8" i="119"/>
  <c r="E8" i="119"/>
  <c r="D8" i="119"/>
  <c r="C8" i="119"/>
  <c r="I7" i="119"/>
  <c r="H7" i="119"/>
  <c r="G7" i="119"/>
  <c r="F7" i="119"/>
  <c r="E7" i="119"/>
  <c r="D7" i="119"/>
  <c r="C7" i="119"/>
  <c r="G70" i="119"/>
  <c r="I25" i="118"/>
  <c r="H25" i="118"/>
  <c r="G25" i="118"/>
  <c r="F25" i="118"/>
  <c r="E25" i="118"/>
  <c r="D25" i="118"/>
  <c r="C25" i="118"/>
  <c r="I24" i="118"/>
  <c r="H24" i="118"/>
  <c r="G24" i="118"/>
  <c r="F24" i="118"/>
  <c r="E24" i="118"/>
  <c r="D24" i="118"/>
  <c r="C24" i="118"/>
  <c r="I23" i="118"/>
  <c r="H23" i="118"/>
  <c r="G23" i="118"/>
  <c r="F23" i="118"/>
  <c r="E23" i="118"/>
  <c r="D23" i="118"/>
  <c r="C23" i="118"/>
  <c r="I22" i="118"/>
  <c r="H22" i="118"/>
  <c r="G22" i="118"/>
  <c r="F22" i="118"/>
  <c r="E22" i="118"/>
  <c r="D22" i="118"/>
  <c r="C22" i="118"/>
  <c r="I21" i="118"/>
  <c r="H21" i="118"/>
  <c r="G21" i="118"/>
  <c r="F21" i="118"/>
  <c r="E21" i="118"/>
  <c r="D21" i="118"/>
  <c r="C21" i="118"/>
  <c r="I20" i="118"/>
  <c r="H20" i="118"/>
  <c r="G20" i="118"/>
  <c r="F20" i="118"/>
  <c r="E20" i="118"/>
  <c r="D20" i="118"/>
  <c r="C20" i="118"/>
  <c r="I19" i="118"/>
  <c r="H19" i="118"/>
  <c r="G19" i="118"/>
  <c r="F19" i="118"/>
  <c r="E19" i="118"/>
  <c r="D19" i="118"/>
  <c r="C19" i="118"/>
  <c r="I18" i="118"/>
  <c r="H18" i="118"/>
  <c r="G18" i="118"/>
  <c r="F18" i="118"/>
  <c r="E18" i="118"/>
  <c r="D18" i="118"/>
  <c r="C18" i="118"/>
  <c r="I17" i="118"/>
  <c r="H17" i="118"/>
  <c r="G17" i="118"/>
  <c r="F17" i="118"/>
  <c r="E17" i="118"/>
  <c r="D17" i="118"/>
  <c r="C17" i="118"/>
  <c r="I16" i="118"/>
  <c r="H16" i="118"/>
  <c r="G16" i="118"/>
  <c r="F16" i="118"/>
  <c r="E16" i="118"/>
  <c r="D16" i="118"/>
  <c r="C16" i="118"/>
  <c r="I15" i="118"/>
  <c r="H15" i="118"/>
  <c r="G15" i="118"/>
  <c r="F15" i="118"/>
  <c r="E15" i="118"/>
  <c r="D15" i="118"/>
  <c r="C15" i="118"/>
  <c r="I14" i="118"/>
  <c r="H14" i="118"/>
  <c r="G14" i="118"/>
  <c r="F14" i="118"/>
  <c r="E14" i="118"/>
  <c r="D14" i="118"/>
  <c r="C14" i="118"/>
  <c r="I13" i="118"/>
  <c r="H13" i="118"/>
  <c r="G13" i="118"/>
  <c r="F13" i="118"/>
  <c r="E13" i="118"/>
  <c r="D13" i="118"/>
  <c r="C13" i="118"/>
  <c r="I12" i="118"/>
  <c r="H12" i="118"/>
  <c r="G12" i="118"/>
  <c r="F12" i="118"/>
  <c r="E12" i="118"/>
  <c r="D12" i="118"/>
  <c r="C12" i="118"/>
  <c r="I11" i="118"/>
  <c r="H11" i="118"/>
  <c r="G11" i="118"/>
  <c r="F11" i="118"/>
  <c r="E11" i="118"/>
  <c r="D11" i="118"/>
  <c r="C11" i="118"/>
  <c r="I10" i="118"/>
  <c r="H10" i="118"/>
  <c r="G10" i="118"/>
  <c r="F10" i="118"/>
  <c r="E10" i="118"/>
  <c r="D10" i="118"/>
  <c r="C10" i="118"/>
  <c r="I9" i="118"/>
  <c r="H9" i="118"/>
  <c r="G9" i="118"/>
  <c r="F9" i="118"/>
  <c r="E9" i="118"/>
  <c r="D9" i="118"/>
  <c r="C9" i="118"/>
  <c r="I8" i="118"/>
  <c r="H8" i="118"/>
  <c r="G8" i="118"/>
  <c r="F8" i="118"/>
  <c r="E8" i="118"/>
  <c r="D8" i="118"/>
  <c r="C8" i="118"/>
  <c r="I7" i="118"/>
  <c r="H7" i="118"/>
  <c r="G7" i="118"/>
  <c r="F7" i="118"/>
  <c r="E7" i="118"/>
  <c r="D7" i="118"/>
  <c r="C7" i="118"/>
  <c r="I25" i="117"/>
  <c r="H25" i="117"/>
  <c r="G25" i="117"/>
  <c r="F25" i="117"/>
  <c r="E25" i="117"/>
  <c r="D25" i="117"/>
  <c r="C25" i="117"/>
  <c r="I24" i="117"/>
  <c r="H24" i="117"/>
  <c r="G24" i="117"/>
  <c r="F24" i="117"/>
  <c r="E24" i="117"/>
  <c r="D24" i="117"/>
  <c r="C24" i="117"/>
  <c r="I23" i="117"/>
  <c r="H23" i="117"/>
  <c r="G23" i="117"/>
  <c r="F23" i="117"/>
  <c r="E23" i="117"/>
  <c r="D23" i="117"/>
  <c r="C23" i="117"/>
  <c r="I22" i="117"/>
  <c r="H22" i="117"/>
  <c r="G22" i="117"/>
  <c r="F22" i="117"/>
  <c r="E22" i="117"/>
  <c r="D22" i="117"/>
  <c r="C22" i="117"/>
  <c r="I21" i="117"/>
  <c r="H21" i="117"/>
  <c r="G21" i="117"/>
  <c r="F21" i="117"/>
  <c r="E21" i="117"/>
  <c r="D21" i="117"/>
  <c r="C21" i="117"/>
  <c r="I20" i="117"/>
  <c r="H20" i="117"/>
  <c r="G20" i="117"/>
  <c r="F20" i="117"/>
  <c r="E20" i="117"/>
  <c r="D20" i="117"/>
  <c r="C20" i="117"/>
  <c r="I19" i="117"/>
  <c r="H19" i="117"/>
  <c r="G19" i="117"/>
  <c r="F19" i="117"/>
  <c r="E19" i="117"/>
  <c r="D19" i="117"/>
  <c r="C19" i="117"/>
  <c r="I18" i="117"/>
  <c r="H18" i="117"/>
  <c r="G18" i="117"/>
  <c r="F18" i="117"/>
  <c r="E18" i="117"/>
  <c r="D18" i="117"/>
  <c r="C18" i="117"/>
  <c r="I17" i="117"/>
  <c r="H17" i="117"/>
  <c r="G17" i="117"/>
  <c r="F17" i="117"/>
  <c r="E17" i="117"/>
  <c r="D17" i="117"/>
  <c r="C17" i="117"/>
  <c r="I16" i="117"/>
  <c r="H16" i="117"/>
  <c r="G16" i="117"/>
  <c r="F16" i="117"/>
  <c r="E16" i="117"/>
  <c r="D16" i="117"/>
  <c r="C16" i="117"/>
  <c r="I15" i="117"/>
  <c r="H15" i="117"/>
  <c r="G15" i="117"/>
  <c r="F15" i="117"/>
  <c r="E15" i="117"/>
  <c r="D15" i="117"/>
  <c r="C15" i="117"/>
  <c r="I14" i="117"/>
  <c r="H14" i="117"/>
  <c r="G14" i="117"/>
  <c r="F14" i="117"/>
  <c r="E14" i="117"/>
  <c r="D14" i="117"/>
  <c r="C14" i="117"/>
  <c r="I13" i="117"/>
  <c r="H13" i="117"/>
  <c r="G13" i="117"/>
  <c r="F13" i="117"/>
  <c r="E13" i="117"/>
  <c r="D13" i="117"/>
  <c r="C13" i="117"/>
  <c r="I12" i="117"/>
  <c r="H12" i="117"/>
  <c r="G12" i="117"/>
  <c r="F12" i="117"/>
  <c r="E12" i="117"/>
  <c r="D12" i="117"/>
  <c r="C12" i="117"/>
  <c r="I11" i="117"/>
  <c r="H11" i="117"/>
  <c r="G11" i="117"/>
  <c r="F11" i="117"/>
  <c r="E11" i="117"/>
  <c r="D11" i="117"/>
  <c r="C11" i="117"/>
  <c r="I10" i="117"/>
  <c r="H10" i="117"/>
  <c r="G10" i="117"/>
  <c r="F10" i="117"/>
  <c r="E10" i="117"/>
  <c r="D10" i="117"/>
  <c r="C10" i="117"/>
  <c r="I9" i="117"/>
  <c r="H9" i="117"/>
  <c r="G9" i="117"/>
  <c r="F9" i="117"/>
  <c r="E9" i="117"/>
  <c r="D9" i="117"/>
  <c r="C9" i="117"/>
  <c r="I8" i="117"/>
  <c r="H8" i="117"/>
  <c r="G8" i="117"/>
  <c r="F8" i="117"/>
  <c r="E8" i="117"/>
  <c r="D8" i="117"/>
  <c r="C8" i="117"/>
  <c r="I7" i="117"/>
  <c r="H7" i="117"/>
  <c r="G7" i="117"/>
  <c r="F7" i="117"/>
  <c r="E7" i="117"/>
  <c r="D7" i="117"/>
  <c r="C7" i="117"/>
  <c r="I25" i="116"/>
  <c r="H25" i="116"/>
  <c r="G25" i="116"/>
  <c r="F25" i="116"/>
  <c r="E25" i="116"/>
  <c r="D25" i="116"/>
  <c r="C25" i="116"/>
  <c r="I24" i="116"/>
  <c r="H24" i="116"/>
  <c r="G24" i="116"/>
  <c r="F24" i="116"/>
  <c r="E24" i="116"/>
  <c r="D24" i="116"/>
  <c r="C24" i="116"/>
  <c r="I23" i="116"/>
  <c r="H23" i="116"/>
  <c r="G23" i="116"/>
  <c r="F23" i="116"/>
  <c r="E23" i="116"/>
  <c r="D23" i="116"/>
  <c r="C23" i="116"/>
  <c r="I22" i="116"/>
  <c r="H22" i="116"/>
  <c r="G22" i="116"/>
  <c r="F22" i="116"/>
  <c r="E22" i="116"/>
  <c r="D22" i="116"/>
  <c r="C22" i="116"/>
  <c r="I21" i="116"/>
  <c r="H21" i="116"/>
  <c r="G21" i="116"/>
  <c r="F21" i="116"/>
  <c r="E21" i="116"/>
  <c r="D21" i="116"/>
  <c r="C21" i="116"/>
  <c r="I20" i="116"/>
  <c r="H20" i="116"/>
  <c r="G20" i="116"/>
  <c r="F20" i="116"/>
  <c r="E20" i="116"/>
  <c r="D20" i="116"/>
  <c r="C20" i="116"/>
  <c r="I19" i="116"/>
  <c r="H19" i="116"/>
  <c r="G19" i="116"/>
  <c r="F19" i="116"/>
  <c r="E19" i="116"/>
  <c r="D19" i="116"/>
  <c r="C19" i="116"/>
  <c r="I18" i="116"/>
  <c r="H18" i="116"/>
  <c r="G18" i="116"/>
  <c r="F18" i="116"/>
  <c r="E18" i="116"/>
  <c r="D18" i="116"/>
  <c r="C18" i="116"/>
  <c r="I17" i="116"/>
  <c r="H17" i="116"/>
  <c r="G17" i="116"/>
  <c r="F17" i="116"/>
  <c r="E17" i="116"/>
  <c r="D17" i="116"/>
  <c r="C17" i="116"/>
  <c r="I16" i="116"/>
  <c r="H16" i="116"/>
  <c r="G16" i="116"/>
  <c r="F16" i="116"/>
  <c r="E16" i="116"/>
  <c r="D16" i="116"/>
  <c r="C16" i="116"/>
  <c r="I15" i="116"/>
  <c r="H15" i="116"/>
  <c r="G15" i="116"/>
  <c r="F15" i="116"/>
  <c r="E15" i="116"/>
  <c r="D15" i="116"/>
  <c r="C15" i="116"/>
  <c r="I14" i="116"/>
  <c r="H14" i="116"/>
  <c r="G14" i="116"/>
  <c r="F14" i="116"/>
  <c r="E14" i="116"/>
  <c r="D14" i="116"/>
  <c r="C14" i="116"/>
  <c r="I13" i="116"/>
  <c r="H13" i="116"/>
  <c r="G13" i="116"/>
  <c r="F13" i="116"/>
  <c r="E13" i="116"/>
  <c r="D13" i="116"/>
  <c r="C13" i="116"/>
  <c r="I12" i="116"/>
  <c r="H12" i="116"/>
  <c r="G12" i="116"/>
  <c r="F12" i="116"/>
  <c r="E12" i="116"/>
  <c r="D12" i="116"/>
  <c r="C12" i="116"/>
  <c r="I11" i="116"/>
  <c r="H11" i="116"/>
  <c r="G11" i="116"/>
  <c r="F11" i="116"/>
  <c r="E11" i="116"/>
  <c r="D11" i="116"/>
  <c r="C11" i="116"/>
  <c r="I10" i="116"/>
  <c r="H10" i="116"/>
  <c r="G10" i="116"/>
  <c r="F10" i="116"/>
  <c r="E10" i="116"/>
  <c r="D10" i="116"/>
  <c r="C10" i="116"/>
  <c r="I9" i="116"/>
  <c r="H9" i="116"/>
  <c r="G9" i="116"/>
  <c r="F9" i="116"/>
  <c r="E9" i="116"/>
  <c r="D9" i="116"/>
  <c r="C9" i="116"/>
  <c r="I8" i="116"/>
  <c r="H8" i="116"/>
  <c r="G8" i="116"/>
  <c r="F8" i="116"/>
  <c r="E8" i="116"/>
  <c r="D8" i="116"/>
  <c r="C8" i="116"/>
  <c r="I7" i="116"/>
  <c r="H7" i="116"/>
  <c r="G7" i="116"/>
  <c r="F7" i="116"/>
  <c r="E7" i="116"/>
  <c r="D7" i="116"/>
  <c r="C7" i="116"/>
  <c r="I25" i="29"/>
  <c r="H25" i="29"/>
  <c r="G25" i="29"/>
  <c r="F25" i="29"/>
  <c r="E25" i="29"/>
  <c r="D25" i="29"/>
  <c r="I24" i="29"/>
  <c r="H24" i="29"/>
  <c r="G24" i="29"/>
  <c r="F24" i="29"/>
  <c r="E24" i="29"/>
  <c r="D24" i="29"/>
  <c r="I23" i="29"/>
  <c r="H23" i="29"/>
  <c r="G23" i="29"/>
  <c r="F23" i="29"/>
  <c r="E23" i="29"/>
  <c r="D23" i="29"/>
  <c r="I22" i="29"/>
  <c r="H22" i="29"/>
  <c r="G22" i="29"/>
  <c r="F22" i="29"/>
  <c r="E22" i="29"/>
  <c r="D22" i="29"/>
  <c r="C25" i="29"/>
  <c r="C24" i="29"/>
  <c r="C23" i="29"/>
  <c r="C22" i="29"/>
  <c r="F61" i="119"/>
  <c r="I57" i="123"/>
  <c r="I63" i="119"/>
  <c r="D66" i="119"/>
  <c r="H70" i="119"/>
  <c r="F67" i="119"/>
  <c r="E63" i="119"/>
  <c r="G61" i="119"/>
  <c r="F68" i="119"/>
  <c r="H69" i="119"/>
  <c r="G68" i="119"/>
  <c r="I70" i="119"/>
  <c r="E22" i="131"/>
  <c r="E25" i="44"/>
  <c r="D22" i="103"/>
  <c r="C22" i="103"/>
  <c r="D22" i="131"/>
  <c r="C22" i="131"/>
  <c r="C25" i="102"/>
  <c r="D25" i="102"/>
  <c r="E22" i="102"/>
  <c r="E24" i="131"/>
  <c r="G23" i="101"/>
  <c r="G25" i="103"/>
  <c r="H23" i="44"/>
  <c r="H25" i="101"/>
  <c r="I22" i="101"/>
  <c r="I24" i="103"/>
  <c r="J23" i="142"/>
  <c r="K23" i="100"/>
  <c r="K25" i="102"/>
  <c r="L22" i="102"/>
  <c r="L24" i="131"/>
  <c r="M24" i="44"/>
  <c r="D22" i="142"/>
  <c r="C22" i="142"/>
  <c r="D25" i="103"/>
  <c r="C25" i="103"/>
  <c r="E22" i="103"/>
  <c r="E24" i="142"/>
  <c r="F24" i="44"/>
  <c r="F24" i="100"/>
  <c r="G23" i="102"/>
  <c r="G25" i="131"/>
  <c r="H23" i="100"/>
  <c r="H25" i="102"/>
  <c r="I22" i="102"/>
  <c r="I24" i="131"/>
  <c r="J24" i="44"/>
  <c r="K23" i="101"/>
  <c r="K25" i="103"/>
  <c r="L22" i="103"/>
  <c r="L24" i="142"/>
  <c r="M24" i="100"/>
  <c r="F24" i="101"/>
  <c r="G23" i="103"/>
  <c r="G25" i="142"/>
  <c r="F69" i="119"/>
  <c r="H23" i="101"/>
  <c r="H25" i="103"/>
  <c r="I22" i="103"/>
  <c r="I24" i="142"/>
  <c r="J24" i="100"/>
  <c r="K23" i="102"/>
  <c r="K25" i="131"/>
  <c r="L22" i="131"/>
  <c r="L25" i="44"/>
  <c r="M22" i="44"/>
  <c r="M24" i="101"/>
  <c r="D23" i="101"/>
  <c r="C23" i="101"/>
  <c r="D25" i="142"/>
  <c r="C25" i="142"/>
  <c r="E22" i="142"/>
  <c r="E25" i="100"/>
  <c r="F22" i="44"/>
  <c r="F22" i="100"/>
  <c r="F24" i="102"/>
  <c r="G23" i="131"/>
  <c r="G71" i="119"/>
  <c r="H23" i="102"/>
  <c r="H25" i="131"/>
  <c r="I22" i="131"/>
  <c r="I25" i="44"/>
  <c r="J22" i="44"/>
  <c r="J24" i="101"/>
  <c r="K23" i="103"/>
  <c r="K25" i="142"/>
  <c r="L22" i="142"/>
  <c r="L25" i="100"/>
  <c r="M22" i="100"/>
  <c r="M24" i="102"/>
  <c r="C23" i="102"/>
  <c r="D23" i="102"/>
  <c r="E23" i="44"/>
  <c r="E25" i="101"/>
  <c r="F22" i="101"/>
  <c r="F24" i="103"/>
  <c r="G23" i="142"/>
  <c r="H23" i="103"/>
  <c r="H25" i="142"/>
  <c r="I22" i="142"/>
  <c r="I25" i="100"/>
  <c r="J22" i="100"/>
  <c r="J24" i="102"/>
  <c r="K23" i="131"/>
  <c r="L23" i="44"/>
  <c r="L25" i="101"/>
  <c r="M22" i="101"/>
  <c r="M24" i="103"/>
  <c r="C23" i="103"/>
  <c r="D23" i="103"/>
  <c r="E23" i="100"/>
  <c r="E25" i="102"/>
  <c r="F22" i="102"/>
  <c r="F24" i="131"/>
  <c r="G24" i="44"/>
  <c r="H23" i="131"/>
  <c r="I23" i="44"/>
  <c r="I25" i="101"/>
  <c r="J22" i="101"/>
  <c r="J24" i="103"/>
  <c r="K23" i="142"/>
  <c r="L23" i="100"/>
  <c r="L25" i="102"/>
  <c r="M22" i="102"/>
  <c r="M24" i="131"/>
  <c r="D23" i="131"/>
  <c r="C23" i="131"/>
  <c r="E23" i="101"/>
  <c r="E25" i="103"/>
  <c r="F22" i="103"/>
  <c r="F24" i="142"/>
  <c r="G24" i="100"/>
  <c r="H23" i="142"/>
  <c r="I23" i="100"/>
  <c r="I25" i="102"/>
  <c r="J22" i="102"/>
  <c r="J24" i="131"/>
  <c r="K24" i="44"/>
  <c r="L23" i="101"/>
  <c r="L25" i="103"/>
  <c r="M22" i="103"/>
  <c r="M24" i="142"/>
  <c r="D23" i="100"/>
  <c r="C23" i="100"/>
  <c r="C23" i="142"/>
  <c r="D23" i="142"/>
  <c r="E23" i="102"/>
  <c r="E25" i="131"/>
  <c r="F22" i="131"/>
  <c r="G22" i="44"/>
  <c r="G24" i="101"/>
  <c r="H24" i="44"/>
  <c r="I23" i="101"/>
  <c r="I25" i="103"/>
  <c r="J22" i="103"/>
  <c r="J24" i="142"/>
  <c r="K24" i="100"/>
  <c r="L23" i="102"/>
  <c r="L25" i="131"/>
  <c r="M22" i="131"/>
  <c r="M25" i="44"/>
  <c r="E23" i="103"/>
  <c r="E25" i="142"/>
  <c r="F22" i="142"/>
  <c r="F25" i="100"/>
  <c r="F25" i="44"/>
  <c r="G22" i="100"/>
  <c r="G24" i="102"/>
  <c r="H24" i="100"/>
  <c r="I23" i="102"/>
  <c r="I25" i="131"/>
  <c r="J22" i="131"/>
  <c r="J25" i="44"/>
  <c r="K22" i="44"/>
  <c r="K24" i="101"/>
  <c r="L23" i="103"/>
  <c r="L25" i="142"/>
  <c r="M22" i="142"/>
  <c r="M25" i="100"/>
  <c r="C24" i="100"/>
  <c r="D24" i="100"/>
  <c r="D24" i="101"/>
  <c r="C24" i="101"/>
  <c r="E23" i="131"/>
  <c r="F25" i="101"/>
  <c r="G22" i="101"/>
  <c r="G24" i="103"/>
  <c r="H22" i="44"/>
  <c r="H24" i="101"/>
  <c r="I23" i="103"/>
  <c r="I25" i="142"/>
  <c r="J22" i="142"/>
  <c r="J25" i="100"/>
  <c r="K22" i="100"/>
  <c r="K24" i="102"/>
  <c r="L23" i="131"/>
  <c r="M23" i="44"/>
  <c r="M25" i="101"/>
  <c r="C23" i="44"/>
  <c r="D23" i="44"/>
  <c r="D24" i="102"/>
  <c r="C24" i="102"/>
  <c r="E23" i="142"/>
  <c r="F23" i="100"/>
  <c r="F23" i="44"/>
  <c r="F25" i="102"/>
  <c r="G22" i="102"/>
  <c r="G24" i="131"/>
  <c r="H22" i="100"/>
  <c r="H24" i="102"/>
  <c r="I23" i="131"/>
  <c r="J23" i="44"/>
  <c r="J25" i="101"/>
  <c r="K22" i="101"/>
  <c r="K24" i="103"/>
  <c r="L23" i="142"/>
  <c r="M23" i="100"/>
  <c r="M25" i="102"/>
  <c r="C25" i="44"/>
  <c r="D25" i="44"/>
  <c r="D24" i="103"/>
  <c r="C24" i="103"/>
  <c r="E24" i="44"/>
  <c r="F23" i="101"/>
  <c r="F25" i="103"/>
  <c r="G22" i="103"/>
  <c r="G24" i="142"/>
  <c r="E68" i="119"/>
  <c r="H22" i="101"/>
  <c r="H24" i="103"/>
  <c r="I23" i="142"/>
  <c r="J23" i="100"/>
  <c r="J25" i="102"/>
  <c r="K22" i="102"/>
  <c r="K24" i="131"/>
  <c r="L24" i="44"/>
  <c r="M23" i="101"/>
  <c r="M25" i="103"/>
  <c r="D22" i="100"/>
  <c r="C22" i="100"/>
  <c r="D24" i="131"/>
  <c r="C24" i="131"/>
  <c r="E24" i="100"/>
  <c r="F23" i="102"/>
  <c r="F25" i="131"/>
  <c r="G22" i="131"/>
  <c r="G25" i="44"/>
  <c r="H22" i="102"/>
  <c r="H24" i="131"/>
  <c r="I24" i="44"/>
  <c r="J23" i="101"/>
  <c r="J25" i="103"/>
  <c r="K22" i="103"/>
  <c r="K24" i="142"/>
  <c r="L24" i="100"/>
  <c r="M23" i="102"/>
  <c r="M25" i="131"/>
  <c r="D24" i="44"/>
  <c r="C24" i="44"/>
  <c r="D22" i="101"/>
  <c r="C22" i="101"/>
  <c r="D24" i="142"/>
  <c r="C24" i="142"/>
  <c r="E22" i="44"/>
  <c r="E24" i="101"/>
  <c r="F23" i="103"/>
  <c r="F25" i="142"/>
  <c r="G22" i="142"/>
  <c r="G25" i="100"/>
  <c r="H22" i="103"/>
  <c r="H24" i="142"/>
  <c r="I24" i="100"/>
  <c r="J23" i="102"/>
  <c r="J25" i="131"/>
  <c r="K22" i="131"/>
  <c r="K25" i="44"/>
  <c r="L22" i="44"/>
  <c r="L24" i="101"/>
  <c r="M23" i="103"/>
  <c r="M25" i="142"/>
  <c r="D25" i="131"/>
  <c r="C25" i="131"/>
  <c r="C22" i="44"/>
  <c r="D22" i="44"/>
  <c r="C22" i="102"/>
  <c r="D22" i="102"/>
  <c r="C25" i="100"/>
  <c r="D25" i="100"/>
  <c r="E22" i="100"/>
  <c r="E24" i="102"/>
  <c r="F23" i="131"/>
  <c r="G23" i="44"/>
  <c r="G25" i="101"/>
  <c r="H22" i="131"/>
  <c r="H25" i="44"/>
  <c r="I22" i="44"/>
  <c r="I24" i="101"/>
  <c r="J23" i="103"/>
  <c r="J25" i="142"/>
  <c r="K22" i="142"/>
  <c r="K25" i="100"/>
  <c r="L22" i="100"/>
  <c r="L24" i="102"/>
  <c r="M23" i="131"/>
  <c r="C25" i="101"/>
  <c r="D25" i="101"/>
  <c r="E22" i="101"/>
  <c r="E24" i="103"/>
  <c r="F23" i="142"/>
  <c r="G23" i="100"/>
  <c r="G25" i="102"/>
  <c r="H22" i="142"/>
  <c r="H25" i="100"/>
  <c r="I22" i="100"/>
  <c r="I24" i="102"/>
  <c r="J23" i="131"/>
  <c r="K23" i="44"/>
  <c r="K25" i="101"/>
  <c r="L22" i="101"/>
  <c r="L24" i="103"/>
  <c r="M23" i="142"/>
  <c r="D60" i="119"/>
  <c r="F62" i="119"/>
  <c r="H64" i="119"/>
  <c r="E69" i="119"/>
  <c r="G62" i="119"/>
  <c r="E67" i="119"/>
  <c r="H71" i="119"/>
  <c r="D65" i="119"/>
  <c r="E59" i="119"/>
  <c r="D53" i="119"/>
  <c r="E55" i="119"/>
  <c r="G57" i="119"/>
  <c r="I59" i="119"/>
  <c r="D62" i="119"/>
  <c r="F64" i="119"/>
  <c r="H66" i="119"/>
  <c r="D69" i="119"/>
  <c r="F71" i="119"/>
  <c r="I57" i="119"/>
  <c r="H63" i="119"/>
  <c r="D59" i="119"/>
  <c r="I71" i="119"/>
  <c r="D68" i="119"/>
  <c r="G56" i="119"/>
  <c r="I58" i="119"/>
  <c r="D61" i="119"/>
  <c r="F63" i="119"/>
  <c r="H65" i="119"/>
  <c r="E70" i="119"/>
  <c r="I56" i="119"/>
  <c r="D57" i="119"/>
  <c r="F59" i="119"/>
  <c r="H61" i="119"/>
  <c r="G63" i="119"/>
  <c r="E66" i="119"/>
  <c r="F70" i="119"/>
  <c r="F53" i="119"/>
  <c r="E60" i="119"/>
  <c r="I64" i="119"/>
  <c r="D67" i="119"/>
  <c r="G69" i="119"/>
  <c r="G60" i="119"/>
  <c r="I62" i="119"/>
  <c r="E61" i="119"/>
  <c r="E71" i="119"/>
  <c r="I65" i="119"/>
  <c r="E53" i="119"/>
  <c r="G55" i="119"/>
  <c r="I66" i="119"/>
  <c r="G53" i="119"/>
  <c r="I55" i="119"/>
  <c r="D58" i="119"/>
  <c r="F60" i="119"/>
  <c r="H62" i="119"/>
  <c r="G64" i="119"/>
  <c r="H54" i="119"/>
  <c r="D71" i="119"/>
  <c r="E57" i="119"/>
  <c r="G59" i="119"/>
  <c r="I61" i="119"/>
  <c r="D64" i="119"/>
  <c r="F66" i="119"/>
  <c r="H68" i="119"/>
  <c r="H59" i="119"/>
  <c r="E62" i="119"/>
  <c r="H56" i="119"/>
  <c r="H57" i="119"/>
  <c r="G54" i="119"/>
  <c r="D55" i="119"/>
  <c r="I68" i="119"/>
  <c r="H55" i="119"/>
  <c r="E64" i="119"/>
  <c r="I53" i="119"/>
  <c r="D56" i="119"/>
  <c r="F58" i="119"/>
  <c r="H60" i="119"/>
  <c r="E65" i="119"/>
  <c r="G67" i="119"/>
  <c r="I69" i="119"/>
  <c r="F57" i="119"/>
  <c r="D54" i="119"/>
  <c r="F56" i="119"/>
  <c r="H58" i="119"/>
  <c r="D63" i="119"/>
  <c r="G65" i="119"/>
  <c r="I67" i="119"/>
  <c r="D70" i="119"/>
  <c r="E54" i="119"/>
  <c r="F54" i="119"/>
  <c r="G66" i="119"/>
  <c r="I54" i="119"/>
  <c r="F55" i="119"/>
  <c r="E58" i="119"/>
  <c r="F65" i="119"/>
  <c r="H67" i="119"/>
  <c r="H53" i="119"/>
  <c r="E56" i="119"/>
  <c r="G58" i="119"/>
  <c r="I60" i="119"/>
  <c r="I21" i="29"/>
  <c r="L21" i="142"/>
  <c r="H21" i="29"/>
  <c r="H21" i="131"/>
  <c r="G21" i="29"/>
  <c r="H21" i="103"/>
  <c r="F21" i="29"/>
  <c r="F21" i="102"/>
  <c r="E21" i="29"/>
  <c r="E21" i="101"/>
  <c r="D21" i="29"/>
  <c r="K21" i="100"/>
  <c r="C21" i="29"/>
  <c r="C9" i="29"/>
  <c r="L9" i="44"/>
  <c r="D9" i="29"/>
  <c r="F9" i="44"/>
  <c r="E9" i="29"/>
  <c r="J9" i="101"/>
  <c r="F9" i="29"/>
  <c r="J9" i="102"/>
  <c r="G9" i="29"/>
  <c r="G9" i="103"/>
  <c r="H9" i="29"/>
  <c r="J9" i="131"/>
  <c r="I9" i="29"/>
  <c r="G9" i="142"/>
  <c r="C10" i="29"/>
  <c r="G10" i="44"/>
  <c r="D10" i="29"/>
  <c r="E10" i="100"/>
  <c r="E10" i="29"/>
  <c r="E10" i="101"/>
  <c r="F10" i="29"/>
  <c r="E10" i="102"/>
  <c r="G10" i="29"/>
  <c r="K10" i="103"/>
  <c r="H10" i="29"/>
  <c r="I10" i="131"/>
  <c r="I10" i="29"/>
  <c r="C11" i="29"/>
  <c r="D11" i="29"/>
  <c r="E11" i="29"/>
  <c r="L11" i="101"/>
  <c r="F11" i="29"/>
  <c r="K11" i="102"/>
  <c r="G11" i="29"/>
  <c r="J11" i="103"/>
  <c r="H11" i="29"/>
  <c r="J11" i="131"/>
  <c r="I11" i="29"/>
  <c r="J11" i="142"/>
  <c r="C12" i="29"/>
  <c r="J12" i="44"/>
  <c r="D12" i="29"/>
  <c r="F12" i="100"/>
  <c r="E12" i="29"/>
  <c r="F12" i="101"/>
  <c r="F12" i="29"/>
  <c r="G12" i="102"/>
  <c r="G12" i="29"/>
  <c r="M12" i="103"/>
  <c r="H12" i="29"/>
  <c r="M12" i="131"/>
  <c r="I12" i="29"/>
  <c r="M12" i="142"/>
  <c r="C13" i="29"/>
  <c r="M13" i="44"/>
  <c r="D13" i="29"/>
  <c r="E13" i="100"/>
  <c r="E13" i="29"/>
  <c r="F13" i="101"/>
  <c r="F13" i="29"/>
  <c r="G13" i="29"/>
  <c r="M13" i="103"/>
  <c r="H13" i="29"/>
  <c r="K13" i="131"/>
  <c r="I13" i="29"/>
  <c r="L13" i="142"/>
  <c r="C14" i="29"/>
  <c r="J14" i="44"/>
  <c r="D14" i="29"/>
  <c r="F14" i="100"/>
  <c r="E14" i="29"/>
  <c r="J14" i="101"/>
  <c r="F14" i="29"/>
  <c r="F14" i="102"/>
  <c r="G14" i="29"/>
  <c r="J14" i="103"/>
  <c r="H14" i="29"/>
  <c r="H14" i="131"/>
  <c r="I14" i="29"/>
  <c r="M14" i="142"/>
  <c r="C15" i="29"/>
  <c r="M15" i="44"/>
  <c r="D15" i="29"/>
  <c r="M15" i="100"/>
  <c r="E15" i="29"/>
  <c r="G15" i="101"/>
  <c r="F15" i="29"/>
  <c r="K15" i="102"/>
  <c r="G15" i="29"/>
  <c r="K15" i="103"/>
  <c r="H15" i="29"/>
  <c r="I15" i="29"/>
  <c r="K15" i="142"/>
  <c r="C16" i="29"/>
  <c r="K16" i="44"/>
  <c r="D16" i="29"/>
  <c r="G16" i="100"/>
  <c r="E16" i="29"/>
  <c r="F16" i="101"/>
  <c r="F16" i="29"/>
  <c r="F16" i="102"/>
  <c r="G16" i="29"/>
  <c r="J16" i="103"/>
  <c r="H16" i="29"/>
  <c r="L16" i="131"/>
  <c r="I16" i="29"/>
  <c r="J16" i="142"/>
  <c r="C17" i="29"/>
  <c r="H17" i="44"/>
  <c r="D17" i="29"/>
  <c r="G17" i="100"/>
  <c r="E17" i="29"/>
  <c r="M17" i="101"/>
  <c r="F17" i="29"/>
  <c r="M17" i="102"/>
  <c r="G17" i="29"/>
  <c r="L17" i="103"/>
  <c r="H17" i="29"/>
  <c r="K17" i="131"/>
  <c r="I17" i="29"/>
  <c r="C18" i="29"/>
  <c r="D18" i="29"/>
  <c r="K18" i="100"/>
  <c r="E18" i="29"/>
  <c r="F18" i="101"/>
  <c r="F18" i="29"/>
  <c r="H18" i="102"/>
  <c r="G18" i="29"/>
  <c r="H18" i="103"/>
  <c r="H18" i="29"/>
  <c r="F18" i="131"/>
  <c r="I18" i="29"/>
  <c r="H18" i="142"/>
  <c r="C19" i="29"/>
  <c r="L19" i="44"/>
  <c r="D19" i="29"/>
  <c r="J19" i="100"/>
  <c r="E19" i="29"/>
  <c r="F19" i="101"/>
  <c r="F19" i="29"/>
  <c r="H19" i="102"/>
  <c r="G19" i="29"/>
  <c r="M19" i="103"/>
  <c r="H19" i="29"/>
  <c r="M19" i="131"/>
  <c r="I19" i="29"/>
  <c r="L19" i="142"/>
  <c r="C20" i="29"/>
  <c r="M20" i="44"/>
  <c r="D20" i="29"/>
  <c r="G20" i="100"/>
  <c r="E20" i="29"/>
  <c r="F20" i="29"/>
  <c r="E20" i="102"/>
  <c r="G20" i="29"/>
  <c r="G20" i="103"/>
  <c r="H20" i="29"/>
  <c r="K20" i="131"/>
  <c r="I20" i="29"/>
  <c r="I20" i="142"/>
  <c r="C8" i="29"/>
  <c r="H8" i="44"/>
  <c r="D8" i="29"/>
  <c r="M8" i="100"/>
  <c r="E8" i="29"/>
  <c r="M8" i="101"/>
  <c r="F8" i="29"/>
  <c r="G8" i="29"/>
  <c r="M8" i="103"/>
  <c r="H8" i="29"/>
  <c r="G8" i="131"/>
  <c r="I8" i="29"/>
  <c r="K8" i="142"/>
  <c r="D7" i="29"/>
  <c r="G7" i="100"/>
  <c r="E7" i="29"/>
  <c r="I7" i="101"/>
  <c r="F7" i="29"/>
  <c r="G7" i="29"/>
  <c r="H7" i="103"/>
  <c r="H7" i="29"/>
  <c r="I7" i="29"/>
  <c r="L7" i="142"/>
  <c r="C7" i="29"/>
  <c r="J7" i="44"/>
  <c r="C62" i="24"/>
  <c r="D62" i="24"/>
  <c r="E62" i="24"/>
  <c r="F62" i="24"/>
  <c r="G62" i="24"/>
  <c r="H62" i="24"/>
  <c r="B62" i="24"/>
  <c r="C61" i="24"/>
  <c r="D61" i="24"/>
  <c r="E61" i="24"/>
  <c r="F61" i="24"/>
  <c r="G61" i="24"/>
  <c r="H61" i="24"/>
  <c r="B61" i="24"/>
  <c r="C60" i="24"/>
  <c r="D60" i="24"/>
  <c r="E60" i="24"/>
  <c r="F60" i="24"/>
  <c r="G60" i="24"/>
  <c r="H60" i="24"/>
  <c r="B60" i="24"/>
  <c r="C59" i="24"/>
  <c r="D59" i="24"/>
  <c r="E59" i="24"/>
  <c r="F59" i="24"/>
  <c r="G59" i="24"/>
  <c r="H59" i="24"/>
  <c r="B59" i="24"/>
  <c r="C58" i="24"/>
  <c r="D58" i="24"/>
  <c r="E58" i="24"/>
  <c r="F58" i="24"/>
  <c r="G58" i="24"/>
  <c r="H58" i="24"/>
  <c r="B58" i="24"/>
  <c r="C57" i="24"/>
  <c r="D57" i="24"/>
  <c r="E57" i="24"/>
  <c r="F57" i="24"/>
  <c r="G57" i="24"/>
  <c r="H57" i="24"/>
  <c r="B57" i="24"/>
  <c r="C56" i="24"/>
  <c r="D56" i="24"/>
  <c r="E56" i="24"/>
  <c r="F56" i="24"/>
  <c r="G56" i="24"/>
  <c r="H56" i="24"/>
  <c r="B56" i="24"/>
  <c r="C55" i="24"/>
  <c r="D55" i="24"/>
  <c r="E55" i="24"/>
  <c r="F55" i="24"/>
  <c r="G55" i="24"/>
  <c r="H55" i="24"/>
  <c r="B55" i="24"/>
  <c r="C54" i="24"/>
  <c r="D54" i="24"/>
  <c r="E54" i="24"/>
  <c r="F54" i="24"/>
  <c r="G54" i="24"/>
  <c r="H54" i="24"/>
  <c r="B54" i="24"/>
  <c r="C53" i="24"/>
  <c r="D53" i="24"/>
  <c r="E53" i="24"/>
  <c r="F53" i="24"/>
  <c r="G53" i="24"/>
  <c r="H53" i="24"/>
  <c r="B53" i="24"/>
  <c r="H52" i="24"/>
  <c r="G52" i="24"/>
  <c r="F52" i="24"/>
  <c r="E52" i="24"/>
  <c r="D52" i="24"/>
  <c r="C52" i="24"/>
  <c r="B52" i="24"/>
  <c r="C7" i="24"/>
  <c r="D7" i="24"/>
  <c r="E7" i="24"/>
  <c r="F7" i="24"/>
  <c r="G7" i="24"/>
  <c r="H7" i="24"/>
  <c r="C8" i="24"/>
  <c r="D8" i="24"/>
  <c r="E8" i="24"/>
  <c r="F8" i="24"/>
  <c r="G8" i="24"/>
  <c r="H8" i="24"/>
  <c r="C9" i="24"/>
  <c r="D9" i="24"/>
  <c r="E9" i="24"/>
  <c r="F9" i="24"/>
  <c r="G9" i="24"/>
  <c r="H9" i="24"/>
  <c r="C10" i="24"/>
  <c r="D10" i="24"/>
  <c r="E10" i="24"/>
  <c r="F10" i="24"/>
  <c r="G10" i="24"/>
  <c r="H10" i="24"/>
  <c r="C11" i="24"/>
  <c r="D11" i="24"/>
  <c r="E11" i="24"/>
  <c r="F11" i="24"/>
  <c r="G11" i="24"/>
  <c r="H11" i="24"/>
  <c r="C12" i="24"/>
  <c r="D12" i="24"/>
  <c r="E12" i="24"/>
  <c r="F12" i="24"/>
  <c r="G12" i="24"/>
  <c r="H12" i="24"/>
  <c r="C13" i="24"/>
  <c r="D13" i="24"/>
  <c r="E13" i="24"/>
  <c r="F13" i="24"/>
  <c r="G13" i="24"/>
  <c r="H13" i="24"/>
  <c r="C14" i="24"/>
  <c r="D14" i="24"/>
  <c r="E14" i="24"/>
  <c r="F14" i="24"/>
  <c r="G14" i="24"/>
  <c r="H14" i="24"/>
  <c r="C15" i="24"/>
  <c r="D15" i="24"/>
  <c r="E15" i="24"/>
  <c r="F15" i="24"/>
  <c r="G15" i="24"/>
  <c r="H15" i="24"/>
  <c r="C16" i="24"/>
  <c r="D16" i="24"/>
  <c r="E16" i="24"/>
  <c r="F16" i="24"/>
  <c r="G16" i="24"/>
  <c r="G17" i="24"/>
  <c r="G31" i="24"/>
  <c r="H16" i="24"/>
  <c r="H17" i="24"/>
  <c r="H31" i="24"/>
  <c r="C17" i="24"/>
  <c r="C32" i="24"/>
  <c r="D17" i="24"/>
  <c r="D32" i="24"/>
  <c r="E17" i="24"/>
  <c r="E32" i="24"/>
  <c r="F17" i="24"/>
  <c r="F32" i="24"/>
  <c r="G32" i="24"/>
  <c r="H32" i="24"/>
  <c r="B17" i="24"/>
  <c r="B16" i="24"/>
  <c r="B15" i="24"/>
  <c r="B14" i="24"/>
  <c r="B13" i="24"/>
  <c r="B12" i="24"/>
  <c r="B11" i="24"/>
  <c r="B10" i="24"/>
  <c r="B9" i="24"/>
  <c r="F30" i="24"/>
  <c r="G30" i="24"/>
  <c r="E29" i="24"/>
  <c r="G26" i="24"/>
  <c r="E25" i="24"/>
  <c r="C24" i="24"/>
  <c r="G22" i="24"/>
  <c r="D29" i="24"/>
  <c r="H27" i="24"/>
  <c r="F26" i="24"/>
  <c r="D25" i="24"/>
  <c r="H23" i="24"/>
  <c r="F22" i="24"/>
  <c r="C28" i="24"/>
  <c r="E30" i="24"/>
  <c r="C29" i="24"/>
  <c r="G27" i="24"/>
  <c r="E26" i="24"/>
  <c r="C25" i="24"/>
  <c r="G23" i="24"/>
  <c r="E22" i="24"/>
  <c r="F31" i="24"/>
  <c r="D30" i="24"/>
  <c r="H28" i="24"/>
  <c r="F27" i="24"/>
  <c r="D26" i="24"/>
  <c r="H24" i="24"/>
  <c r="F23" i="24"/>
  <c r="D22" i="24"/>
  <c r="E31" i="24"/>
  <c r="C30" i="24"/>
  <c r="G28" i="24"/>
  <c r="E27" i="24"/>
  <c r="C26" i="24"/>
  <c r="G24" i="24"/>
  <c r="E23" i="24"/>
  <c r="C22" i="24"/>
  <c r="D31" i="24"/>
  <c r="H29" i="24"/>
  <c r="F28" i="24"/>
  <c r="D27" i="24"/>
  <c r="H25" i="24"/>
  <c r="F24" i="24"/>
  <c r="D23" i="24"/>
  <c r="C31" i="24"/>
  <c r="G29" i="24"/>
  <c r="E28" i="24"/>
  <c r="C27" i="24"/>
  <c r="G25" i="24"/>
  <c r="E24" i="24"/>
  <c r="C23" i="24"/>
  <c r="H30" i="24"/>
  <c r="F29" i="24"/>
  <c r="D28" i="24"/>
  <c r="H26" i="24"/>
  <c r="F25" i="24"/>
  <c r="D24" i="24"/>
  <c r="H22" i="24"/>
  <c r="B24" i="24"/>
  <c r="L8" i="102"/>
  <c r="F54" i="29"/>
  <c r="B27" i="24"/>
  <c r="B29" i="24"/>
  <c r="B30" i="24"/>
  <c r="B25" i="24"/>
  <c r="B28" i="24"/>
  <c r="B31" i="24"/>
  <c r="B26" i="24"/>
  <c r="E21" i="131"/>
  <c r="B32" i="24"/>
  <c r="B23" i="24"/>
  <c r="B22" i="24"/>
  <c r="D7" i="131"/>
  <c r="C7" i="131"/>
  <c r="C20" i="101"/>
  <c r="D20" i="101"/>
  <c r="C18" i="44"/>
  <c r="D18" i="44"/>
  <c r="D15" i="131"/>
  <c r="C15" i="131"/>
  <c r="D13" i="102"/>
  <c r="C13" i="102"/>
  <c r="C11" i="100"/>
  <c r="D11" i="100"/>
  <c r="C21" i="44"/>
  <c r="D21" i="44"/>
  <c r="M10" i="100"/>
  <c r="K11" i="103"/>
  <c r="I13" i="44"/>
  <c r="G14" i="44"/>
  <c r="E15" i="102"/>
  <c r="G7" i="44"/>
  <c r="E8" i="102"/>
  <c r="M9" i="142"/>
  <c r="K11" i="101"/>
  <c r="I12" i="131"/>
  <c r="G13" i="131"/>
  <c r="E15" i="100"/>
  <c r="M14" i="101"/>
  <c r="K15" i="131"/>
  <c r="I17" i="100"/>
  <c r="G18" i="100"/>
  <c r="E19" i="103"/>
  <c r="M14" i="100"/>
  <c r="I17" i="44"/>
  <c r="G20" i="101"/>
  <c r="M16" i="101"/>
  <c r="I19" i="100"/>
  <c r="M18" i="102"/>
  <c r="K19" i="142"/>
  <c r="I21" i="101"/>
  <c r="E21" i="102"/>
  <c r="M16" i="44"/>
  <c r="K17" i="102"/>
  <c r="I18" i="142"/>
  <c r="G19" i="142"/>
  <c r="M9" i="44"/>
  <c r="K10" i="102"/>
  <c r="I11" i="142"/>
  <c r="G12" i="142"/>
  <c r="E12" i="44"/>
  <c r="K8" i="44"/>
  <c r="I9" i="102"/>
  <c r="G10" i="102"/>
  <c r="L7" i="100"/>
  <c r="J8" i="103"/>
  <c r="H10" i="44"/>
  <c r="F8" i="103"/>
  <c r="M17" i="103"/>
  <c r="K19" i="44"/>
  <c r="I20" i="102"/>
  <c r="H7" i="101"/>
  <c r="M21" i="142"/>
  <c r="H7" i="100"/>
  <c r="F10" i="102"/>
  <c r="J7" i="142"/>
  <c r="H9" i="101"/>
  <c r="F12" i="103"/>
  <c r="D7" i="103"/>
  <c r="C7" i="103"/>
  <c r="D20" i="100"/>
  <c r="C20" i="100"/>
  <c r="D17" i="142"/>
  <c r="C17" i="142"/>
  <c r="C15" i="103"/>
  <c r="D15" i="103"/>
  <c r="D13" i="101"/>
  <c r="C13" i="101"/>
  <c r="C11" i="44"/>
  <c r="D11" i="44"/>
  <c r="C21" i="100"/>
  <c r="D21" i="100"/>
  <c r="M7" i="142"/>
  <c r="K9" i="101"/>
  <c r="G11" i="131"/>
  <c r="J21" i="101"/>
  <c r="M7" i="103"/>
  <c r="K9" i="44"/>
  <c r="I10" i="102"/>
  <c r="G11" i="102"/>
  <c r="E12" i="142"/>
  <c r="M12" i="44"/>
  <c r="K13" i="102"/>
  <c r="I14" i="142"/>
  <c r="G15" i="142"/>
  <c r="E17" i="101"/>
  <c r="M11" i="142"/>
  <c r="K13" i="101"/>
  <c r="I14" i="131"/>
  <c r="G18" i="44"/>
  <c r="E19" i="102"/>
  <c r="M14" i="44"/>
  <c r="I16" i="142"/>
  <c r="G17" i="142"/>
  <c r="E21" i="103"/>
  <c r="M16" i="100"/>
  <c r="K17" i="103"/>
  <c r="I19" i="44"/>
  <c r="G20" i="44"/>
  <c r="E19" i="100"/>
  <c r="M13" i="131"/>
  <c r="K15" i="100"/>
  <c r="I16" i="103"/>
  <c r="G17" i="103"/>
  <c r="K8" i="100"/>
  <c r="I9" i="103"/>
  <c r="G10" i="103"/>
  <c r="E9" i="131"/>
  <c r="I7" i="100"/>
  <c r="G8" i="100"/>
  <c r="H7" i="131"/>
  <c r="F8" i="131"/>
  <c r="K21" i="102"/>
  <c r="M15" i="101"/>
  <c r="K16" i="131"/>
  <c r="I18" i="100"/>
  <c r="G21" i="102"/>
  <c r="K18" i="142"/>
  <c r="I20" i="101"/>
  <c r="K21" i="44"/>
  <c r="F8" i="100"/>
  <c r="M21" i="131"/>
  <c r="H7" i="44"/>
  <c r="F10" i="101"/>
  <c r="C7" i="102"/>
  <c r="D7" i="102"/>
  <c r="C20" i="44"/>
  <c r="D20" i="44"/>
  <c r="D17" i="131"/>
  <c r="C17" i="131"/>
  <c r="D15" i="102"/>
  <c r="C15" i="102"/>
  <c r="D13" i="100"/>
  <c r="C13" i="100"/>
  <c r="D10" i="142"/>
  <c r="C10" i="142"/>
  <c r="C21" i="101"/>
  <c r="D21" i="101"/>
  <c r="K7" i="44"/>
  <c r="I8" i="102"/>
  <c r="G9" i="102"/>
  <c r="E10" i="142"/>
  <c r="J19" i="44"/>
  <c r="H20" i="102"/>
  <c r="I8" i="100"/>
  <c r="G9" i="100"/>
  <c r="E10" i="103"/>
  <c r="M9" i="131"/>
  <c r="K11" i="100"/>
  <c r="I12" i="103"/>
  <c r="G13" i="103"/>
  <c r="E15" i="44"/>
  <c r="M9" i="103"/>
  <c r="K11" i="44"/>
  <c r="I12" i="102"/>
  <c r="G15" i="131"/>
  <c r="E17" i="100"/>
  <c r="M11" i="131"/>
  <c r="K13" i="100"/>
  <c r="I14" i="103"/>
  <c r="G15" i="103"/>
  <c r="E19" i="101"/>
  <c r="M13" i="142"/>
  <c r="K15" i="101"/>
  <c r="I16" i="131"/>
  <c r="G17" i="131"/>
  <c r="E16" i="142"/>
  <c r="M11" i="102"/>
  <c r="K12" i="142"/>
  <c r="I14" i="101"/>
  <c r="E19" i="44"/>
  <c r="G8" i="101"/>
  <c r="E7" i="102"/>
  <c r="L21" i="44"/>
  <c r="M20" i="100"/>
  <c r="K21" i="103"/>
  <c r="M17" i="131"/>
  <c r="K19" i="100"/>
  <c r="I20" i="103"/>
  <c r="G21" i="103"/>
  <c r="K14" i="102"/>
  <c r="I15" i="142"/>
  <c r="G19" i="100"/>
  <c r="E20" i="103"/>
  <c r="K16" i="103"/>
  <c r="I18" i="44"/>
  <c r="K18" i="131"/>
  <c r="I20" i="100"/>
  <c r="F8" i="44"/>
  <c r="M19" i="102"/>
  <c r="K20" i="142"/>
  <c r="D7" i="101"/>
  <c r="C7" i="101"/>
  <c r="D19" i="142"/>
  <c r="C19" i="142"/>
  <c r="D17" i="103"/>
  <c r="C17" i="103"/>
  <c r="D15" i="101"/>
  <c r="C15" i="101"/>
  <c r="D13" i="44"/>
  <c r="C13" i="44"/>
  <c r="D10" i="131"/>
  <c r="C10" i="131"/>
  <c r="D21" i="102"/>
  <c r="C21" i="102"/>
  <c r="E8" i="103"/>
  <c r="L15" i="101"/>
  <c r="J16" i="131"/>
  <c r="H18" i="100"/>
  <c r="F19" i="44"/>
  <c r="E8" i="101"/>
  <c r="M7" i="102"/>
  <c r="I10" i="101"/>
  <c r="G11" i="101"/>
  <c r="E12" i="131"/>
  <c r="M7" i="101"/>
  <c r="K8" i="131"/>
  <c r="I10" i="100"/>
  <c r="G13" i="102"/>
  <c r="E14" i="142"/>
  <c r="M9" i="102"/>
  <c r="K10" i="142"/>
  <c r="I12" i="101"/>
  <c r="G13" i="101"/>
  <c r="E17" i="44"/>
  <c r="M11" i="103"/>
  <c r="K13" i="44"/>
  <c r="I14" i="102"/>
  <c r="G15" i="102"/>
  <c r="E14" i="103"/>
  <c r="M9" i="100"/>
  <c r="I12" i="44"/>
  <c r="G13" i="44"/>
  <c r="E16" i="131"/>
  <c r="L21" i="100"/>
  <c r="L18" i="131"/>
  <c r="J20" i="100"/>
  <c r="M17" i="142"/>
  <c r="K19" i="101"/>
  <c r="I20" i="131"/>
  <c r="G21" i="131"/>
  <c r="M15" i="102"/>
  <c r="K16" i="142"/>
  <c r="I18" i="101"/>
  <c r="G19" i="101"/>
  <c r="E20" i="131"/>
  <c r="M10" i="131"/>
  <c r="K12" i="100"/>
  <c r="I13" i="103"/>
  <c r="G16" i="142"/>
  <c r="E18" i="101"/>
  <c r="K14" i="101"/>
  <c r="I15" i="131"/>
  <c r="G21" i="101"/>
  <c r="K16" i="102"/>
  <c r="I17" i="142"/>
  <c r="G21" i="100"/>
  <c r="M17" i="100"/>
  <c r="K18" i="103"/>
  <c r="I20" i="44"/>
  <c r="D7" i="100"/>
  <c r="C7" i="100"/>
  <c r="D19" i="131"/>
  <c r="C19" i="131"/>
  <c r="D17" i="102"/>
  <c r="C17" i="102"/>
  <c r="D15" i="100"/>
  <c r="C15" i="100"/>
  <c r="D12" i="142"/>
  <c r="C12" i="142"/>
  <c r="C10" i="103"/>
  <c r="D10" i="103"/>
  <c r="D21" i="103"/>
  <c r="C21" i="103"/>
  <c r="L20" i="44"/>
  <c r="J21" i="102"/>
  <c r="L13" i="44"/>
  <c r="J14" i="102"/>
  <c r="H15" i="142"/>
  <c r="F19" i="100"/>
  <c r="L19" i="131"/>
  <c r="J21" i="100"/>
  <c r="I8" i="44"/>
  <c r="G9" i="44"/>
  <c r="I7" i="142"/>
  <c r="G11" i="100"/>
  <c r="E12" i="103"/>
  <c r="M7" i="100"/>
  <c r="K8" i="103"/>
  <c r="I10" i="44"/>
  <c r="G11" i="44"/>
  <c r="E14" i="131"/>
  <c r="M9" i="101"/>
  <c r="K10" i="131"/>
  <c r="I12" i="100"/>
  <c r="G13" i="100"/>
  <c r="E12" i="101"/>
  <c r="K8" i="101"/>
  <c r="I9" i="131"/>
  <c r="G10" i="131"/>
  <c r="E14" i="102"/>
  <c r="L18" i="142"/>
  <c r="J20" i="101"/>
  <c r="F20" i="102"/>
  <c r="L16" i="102"/>
  <c r="J17" i="142"/>
  <c r="H19" i="101"/>
  <c r="F20" i="101"/>
  <c r="M15" i="103"/>
  <c r="K17" i="44"/>
  <c r="I18" i="102"/>
  <c r="G19" i="102"/>
  <c r="E20" i="142"/>
  <c r="M13" i="100"/>
  <c r="K14" i="103"/>
  <c r="I16" i="44"/>
  <c r="G17" i="44"/>
  <c r="E18" i="102"/>
  <c r="M8" i="102"/>
  <c r="K9" i="142"/>
  <c r="I11" i="101"/>
  <c r="G14" i="103"/>
  <c r="E16" i="44"/>
  <c r="M10" i="103"/>
  <c r="K12" i="44"/>
  <c r="I13" i="102"/>
  <c r="G19" i="44"/>
  <c r="K14" i="100"/>
  <c r="I15" i="103"/>
  <c r="G18" i="142"/>
  <c r="K16" i="101"/>
  <c r="I17" i="131"/>
  <c r="G21" i="44"/>
  <c r="E20" i="100"/>
  <c r="D8" i="142"/>
  <c r="C8" i="142"/>
  <c r="C19" i="103"/>
  <c r="D19" i="103"/>
  <c r="C17" i="101"/>
  <c r="D17" i="101"/>
  <c r="C15" i="44"/>
  <c r="D15" i="44"/>
  <c r="D12" i="131"/>
  <c r="C12" i="131"/>
  <c r="C10" i="102"/>
  <c r="D10" i="102"/>
  <c r="D21" i="131"/>
  <c r="C21" i="131"/>
  <c r="L17" i="131"/>
  <c r="H20" i="103"/>
  <c r="F21" i="103"/>
  <c r="L10" i="131"/>
  <c r="J12" i="100"/>
  <c r="H13" i="103"/>
  <c r="F16" i="142"/>
  <c r="L17" i="102"/>
  <c r="J18" i="142"/>
  <c r="H20" i="101"/>
  <c r="F21" i="101"/>
  <c r="E8" i="100"/>
  <c r="L21" i="131"/>
  <c r="G8" i="142"/>
  <c r="I7" i="131"/>
  <c r="E12" i="102"/>
  <c r="M7" i="44"/>
  <c r="K8" i="102"/>
  <c r="I9" i="142"/>
  <c r="G10" i="142"/>
  <c r="E10" i="44"/>
  <c r="I7" i="102"/>
  <c r="G8" i="102"/>
  <c r="E12" i="100"/>
  <c r="L16" i="103"/>
  <c r="J18" i="44"/>
  <c r="F18" i="44"/>
  <c r="E16" i="102"/>
  <c r="L14" i="100"/>
  <c r="J15" i="103"/>
  <c r="F15" i="131"/>
  <c r="M13" i="101"/>
  <c r="K14" i="131"/>
  <c r="I16" i="100"/>
  <c r="E18" i="103"/>
  <c r="M10" i="142"/>
  <c r="K12" i="101"/>
  <c r="I13" i="131"/>
  <c r="G14" i="131"/>
  <c r="E16" i="100"/>
  <c r="K7" i="103"/>
  <c r="I9" i="44"/>
  <c r="G12" i="101"/>
  <c r="E13" i="131"/>
  <c r="K9" i="131"/>
  <c r="I11" i="100"/>
  <c r="G16" i="131"/>
  <c r="M10" i="102"/>
  <c r="K11" i="142"/>
  <c r="I13" i="101"/>
  <c r="G16" i="103"/>
  <c r="E20" i="101"/>
  <c r="K14" i="44"/>
  <c r="I15" i="102"/>
  <c r="G18" i="131"/>
  <c r="E17" i="142"/>
  <c r="D8" i="131"/>
  <c r="C8" i="131"/>
  <c r="D19" i="102"/>
  <c r="C19" i="102"/>
  <c r="C17" i="100"/>
  <c r="D17" i="100"/>
  <c r="D14" i="142"/>
  <c r="C14" i="142"/>
  <c r="D12" i="103"/>
  <c r="C12" i="103"/>
  <c r="C10" i="101"/>
  <c r="D10" i="101"/>
  <c r="D21" i="142"/>
  <c r="C21" i="142"/>
  <c r="L15" i="102"/>
  <c r="H18" i="101"/>
  <c r="E9" i="103"/>
  <c r="J9" i="142"/>
  <c r="H11" i="101"/>
  <c r="F14" i="103"/>
  <c r="L15" i="100"/>
  <c r="H18" i="44"/>
  <c r="F16" i="131"/>
  <c r="L19" i="103"/>
  <c r="J21" i="44"/>
  <c r="L19" i="102"/>
  <c r="J20" i="142"/>
  <c r="E8" i="44"/>
  <c r="L21" i="103"/>
  <c r="I7" i="103"/>
  <c r="G8" i="103"/>
  <c r="E7" i="131"/>
  <c r="L21" i="101"/>
  <c r="E9" i="142"/>
  <c r="L14" i="101"/>
  <c r="J15" i="131"/>
  <c r="H17" i="100"/>
  <c r="F18" i="100"/>
  <c r="L11" i="142"/>
  <c r="J13" i="101"/>
  <c r="F13" i="102"/>
  <c r="M11" i="44"/>
  <c r="K12" i="102"/>
  <c r="I13" i="142"/>
  <c r="G14" i="142"/>
  <c r="E16" i="101"/>
  <c r="K10" i="44"/>
  <c r="I11" i="102"/>
  <c r="E13" i="142"/>
  <c r="E11" i="102"/>
  <c r="K7" i="102"/>
  <c r="I8" i="142"/>
  <c r="G14" i="102"/>
  <c r="K9" i="103"/>
  <c r="I11" i="44"/>
  <c r="G14" i="101"/>
  <c r="E18" i="44"/>
  <c r="M10" i="101"/>
  <c r="K11" i="131"/>
  <c r="I13" i="100"/>
  <c r="G16" i="102"/>
  <c r="E15" i="103"/>
  <c r="D8" i="103"/>
  <c r="C8" i="103"/>
  <c r="D19" i="101"/>
  <c r="C19" i="101"/>
  <c r="D17" i="44"/>
  <c r="C17" i="44"/>
  <c r="D14" i="131"/>
  <c r="C14" i="131"/>
  <c r="D12" i="102"/>
  <c r="C12" i="102"/>
  <c r="D10" i="100"/>
  <c r="C10" i="100"/>
  <c r="L13" i="100"/>
  <c r="H16" i="44"/>
  <c r="F14" i="131"/>
  <c r="J7" i="103"/>
  <c r="H9" i="44"/>
  <c r="L12" i="142"/>
  <c r="H15" i="131"/>
  <c r="L17" i="101"/>
  <c r="J18" i="131"/>
  <c r="H20" i="100"/>
  <c r="F21" i="100"/>
  <c r="L17" i="100"/>
  <c r="J18" i="103"/>
  <c r="L19" i="101"/>
  <c r="J20" i="131"/>
  <c r="E7" i="142"/>
  <c r="L21" i="102"/>
  <c r="J20" i="102"/>
  <c r="H21" i="142"/>
  <c r="E7" i="103"/>
  <c r="L12" i="44"/>
  <c r="J13" i="102"/>
  <c r="H14" i="142"/>
  <c r="F15" i="142"/>
  <c r="L9" i="103"/>
  <c r="J11" i="44"/>
  <c r="H12" i="102"/>
  <c r="F11" i="100"/>
  <c r="M8" i="131"/>
  <c r="K10" i="100"/>
  <c r="I11" i="103"/>
  <c r="G12" i="103"/>
  <c r="E14" i="44"/>
  <c r="K7" i="131"/>
  <c r="I9" i="100"/>
  <c r="G10" i="100"/>
  <c r="E11" i="103"/>
  <c r="L20" i="103"/>
  <c r="G7" i="131"/>
  <c r="E9" i="100"/>
  <c r="G12" i="100"/>
  <c r="K7" i="101"/>
  <c r="I8" i="131"/>
  <c r="G12" i="44"/>
  <c r="E15" i="131"/>
  <c r="M8" i="44"/>
  <c r="K9" i="102"/>
  <c r="I10" i="142"/>
  <c r="G14" i="100"/>
  <c r="E13" i="101"/>
  <c r="D8" i="102"/>
  <c r="C8" i="102"/>
  <c r="C19" i="100"/>
  <c r="D19" i="100"/>
  <c r="D16" i="142"/>
  <c r="C16" i="142"/>
  <c r="D14" i="103"/>
  <c r="C14" i="103"/>
  <c r="C12" i="101"/>
  <c r="D12" i="101"/>
  <c r="C10" i="44"/>
  <c r="D10" i="44"/>
  <c r="L10" i="142"/>
  <c r="J12" i="101"/>
  <c r="H13" i="131"/>
  <c r="F12" i="102"/>
  <c r="M21" i="102"/>
  <c r="F7" i="131"/>
  <c r="L10" i="103"/>
  <c r="H13" i="102"/>
  <c r="L15" i="44"/>
  <c r="J16" i="102"/>
  <c r="H17" i="142"/>
  <c r="F21" i="44"/>
  <c r="L14" i="142"/>
  <c r="J16" i="101"/>
  <c r="H20" i="44"/>
  <c r="L17" i="44"/>
  <c r="J18" i="102"/>
  <c r="H19" i="142"/>
  <c r="L19" i="100"/>
  <c r="J20" i="103"/>
  <c r="F20" i="131"/>
  <c r="J18" i="100"/>
  <c r="H19" i="103"/>
  <c r="E7" i="101"/>
  <c r="L9" i="131"/>
  <c r="J11" i="100"/>
  <c r="H12" i="103"/>
  <c r="F13" i="103"/>
  <c r="L7" i="101"/>
  <c r="J8" i="131"/>
  <c r="H10" i="100"/>
  <c r="F11" i="44"/>
  <c r="K7" i="142"/>
  <c r="I9" i="101"/>
  <c r="G10" i="101"/>
  <c r="E11" i="131"/>
  <c r="G7" i="142"/>
  <c r="E9" i="101"/>
  <c r="L18" i="101"/>
  <c r="J19" i="131"/>
  <c r="H21" i="100"/>
  <c r="L20" i="102"/>
  <c r="J21" i="142"/>
  <c r="G9" i="131"/>
  <c r="E13" i="102"/>
  <c r="K7" i="100"/>
  <c r="I8" i="103"/>
  <c r="G11" i="142"/>
  <c r="E11" i="44"/>
  <c r="D8" i="101"/>
  <c r="C8" i="101"/>
  <c r="D19" i="44"/>
  <c r="C19" i="44"/>
  <c r="D16" i="131"/>
  <c r="C16" i="131"/>
  <c r="C14" i="102"/>
  <c r="D14" i="102"/>
  <c r="C12" i="100"/>
  <c r="D12" i="100"/>
  <c r="D9" i="142"/>
  <c r="C9" i="142"/>
  <c r="L8" i="103"/>
  <c r="J10" i="44"/>
  <c r="H11" i="102"/>
  <c r="F10" i="44"/>
  <c r="M19" i="100"/>
  <c r="K20" i="103"/>
  <c r="L8" i="101"/>
  <c r="H11" i="100"/>
  <c r="F12" i="44"/>
  <c r="L12" i="131"/>
  <c r="J14" i="100"/>
  <c r="H15" i="103"/>
  <c r="F18" i="142"/>
  <c r="L12" i="103"/>
  <c r="H17" i="131"/>
  <c r="L14" i="131"/>
  <c r="J16" i="100"/>
  <c r="H17" i="103"/>
  <c r="F20" i="142"/>
  <c r="L16" i="142"/>
  <c r="J18" i="101"/>
  <c r="H19" i="131"/>
  <c r="F18" i="102"/>
  <c r="L14" i="102"/>
  <c r="J15" i="142"/>
  <c r="H17" i="101"/>
  <c r="F20" i="103"/>
  <c r="L7" i="102"/>
  <c r="J8" i="142"/>
  <c r="H10" i="101"/>
  <c r="F11" i="101"/>
  <c r="H7" i="142"/>
  <c r="F8" i="142"/>
  <c r="I7" i="44"/>
  <c r="G8" i="44"/>
  <c r="E9" i="102"/>
  <c r="L20" i="131"/>
  <c r="E7" i="44"/>
  <c r="L16" i="44"/>
  <c r="J17" i="102"/>
  <c r="L18" i="100"/>
  <c r="J19" i="103"/>
  <c r="G7" i="103"/>
  <c r="L20" i="101"/>
  <c r="J21" i="131"/>
  <c r="G7" i="102"/>
  <c r="E11" i="100"/>
  <c r="E8" i="131"/>
  <c r="D8" i="100"/>
  <c r="C8" i="100"/>
  <c r="D18" i="142"/>
  <c r="C18" i="142"/>
  <c r="D16" i="103"/>
  <c r="C16" i="103"/>
  <c r="D14" i="101"/>
  <c r="C14" i="101"/>
  <c r="D12" i="44"/>
  <c r="C12" i="44"/>
  <c r="D9" i="131"/>
  <c r="C9" i="131"/>
  <c r="J7" i="131"/>
  <c r="H9" i="100"/>
  <c r="F10" i="100"/>
  <c r="M16" i="142"/>
  <c r="K18" i="101"/>
  <c r="I19" i="131"/>
  <c r="G20" i="131"/>
  <c r="J7" i="102"/>
  <c r="H8" i="142"/>
  <c r="F9" i="142"/>
  <c r="E18" i="100"/>
  <c r="L10" i="102"/>
  <c r="H13" i="101"/>
  <c r="F16" i="103"/>
  <c r="E14" i="100"/>
  <c r="L10" i="101"/>
  <c r="H15" i="102"/>
  <c r="L12" i="102"/>
  <c r="J13" i="142"/>
  <c r="H15" i="101"/>
  <c r="F18" i="103"/>
  <c r="L14" i="103"/>
  <c r="J16" i="44"/>
  <c r="H17" i="102"/>
  <c r="F16" i="44"/>
  <c r="L12" i="100"/>
  <c r="J13" i="103"/>
  <c r="H15" i="44"/>
  <c r="M20" i="101"/>
  <c r="K21" i="131"/>
  <c r="L20" i="142"/>
  <c r="E7" i="100"/>
  <c r="L18" i="102"/>
  <c r="J19" i="142"/>
  <c r="H21" i="101"/>
  <c r="L13" i="131"/>
  <c r="J15" i="100"/>
  <c r="H16" i="103"/>
  <c r="L15" i="142"/>
  <c r="J17" i="101"/>
  <c r="H21" i="44"/>
  <c r="L18" i="44"/>
  <c r="J19" i="102"/>
  <c r="H20" i="142"/>
  <c r="E8" i="142"/>
  <c r="L20" i="100"/>
  <c r="J21" i="103"/>
  <c r="G7" i="101"/>
  <c r="C8" i="44"/>
  <c r="D8" i="44"/>
  <c r="D18" i="131"/>
  <c r="C18" i="131"/>
  <c r="D16" i="102"/>
  <c r="C16" i="102"/>
  <c r="D14" i="100"/>
  <c r="C14" i="100"/>
  <c r="D11" i="142"/>
  <c r="C11" i="142"/>
  <c r="D9" i="103"/>
  <c r="C9" i="103"/>
  <c r="M21" i="103"/>
  <c r="F7" i="142"/>
  <c r="M14" i="103"/>
  <c r="I17" i="102"/>
  <c r="G18" i="102"/>
  <c r="E19" i="142"/>
  <c r="M21" i="101"/>
  <c r="F7" i="103"/>
  <c r="L8" i="100"/>
  <c r="J9" i="103"/>
  <c r="H11" i="44"/>
  <c r="F14" i="101"/>
  <c r="L8" i="44"/>
  <c r="H13" i="100"/>
  <c r="F14" i="44"/>
  <c r="E11" i="142"/>
  <c r="L10" i="100"/>
  <c r="H13" i="44"/>
  <c r="L12" i="101"/>
  <c r="J13" i="131"/>
  <c r="H15" i="100"/>
  <c r="F16" i="100"/>
  <c r="E11" i="101"/>
  <c r="L9" i="142"/>
  <c r="J11" i="101"/>
  <c r="H12" i="131"/>
  <c r="F13" i="131"/>
  <c r="M20" i="102"/>
  <c r="K21" i="142"/>
  <c r="M18" i="44"/>
  <c r="K19" i="102"/>
  <c r="G21" i="142"/>
  <c r="L18" i="103"/>
  <c r="J20" i="44"/>
  <c r="H21" i="102"/>
  <c r="L16" i="100"/>
  <c r="J17" i="103"/>
  <c r="H19" i="44"/>
  <c r="F17" i="131"/>
  <c r="L11" i="102"/>
  <c r="J12" i="142"/>
  <c r="H14" i="101"/>
  <c r="F19" i="142"/>
  <c r="L13" i="103"/>
  <c r="J15" i="44"/>
  <c r="H18" i="131"/>
  <c r="F19" i="131"/>
  <c r="L15" i="131"/>
  <c r="J17" i="100"/>
  <c r="L17" i="142"/>
  <c r="J19" i="101"/>
  <c r="H20" i="131"/>
  <c r="F21" i="131"/>
  <c r="D20" i="142"/>
  <c r="C20" i="142"/>
  <c r="C18" i="103"/>
  <c r="D18" i="103"/>
  <c r="D16" i="101"/>
  <c r="C16" i="101"/>
  <c r="D14" i="44"/>
  <c r="C14" i="44"/>
  <c r="D11" i="131"/>
  <c r="C11" i="131"/>
  <c r="D9" i="102"/>
  <c r="C9" i="102"/>
  <c r="M19" i="101"/>
  <c r="M12" i="101"/>
  <c r="I15" i="100"/>
  <c r="E17" i="103"/>
  <c r="M19" i="44"/>
  <c r="K20" i="102"/>
  <c r="I21" i="142"/>
  <c r="J7" i="101"/>
  <c r="H8" i="131"/>
  <c r="F9" i="131"/>
  <c r="J7" i="100"/>
  <c r="H10" i="142"/>
  <c r="F11" i="142"/>
  <c r="H10" i="131"/>
  <c r="F11" i="131"/>
  <c r="E15" i="142"/>
  <c r="L10" i="44"/>
  <c r="J11" i="102"/>
  <c r="H12" i="142"/>
  <c r="F13" i="142"/>
  <c r="L7" i="103"/>
  <c r="J9" i="44"/>
  <c r="H10" i="102"/>
  <c r="F11" i="102"/>
  <c r="M18" i="100"/>
  <c r="K19" i="103"/>
  <c r="I21" i="44"/>
  <c r="E21" i="100"/>
  <c r="M15" i="131"/>
  <c r="K17" i="100"/>
  <c r="I18" i="103"/>
  <c r="G19" i="103"/>
  <c r="E21" i="44"/>
  <c r="L16" i="101"/>
  <c r="J17" i="131"/>
  <c r="H19" i="100"/>
  <c r="F20" i="100"/>
  <c r="J15" i="101"/>
  <c r="H16" i="131"/>
  <c r="F15" i="102"/>
  <c r="F12" i="142"/>
  <c r="L9" i="100"/>
  <c r="J10" i="103"/>
  <c r="H12" i="44"/>
  <c r="F17" i="103"/>
  <c r="F8" i="101"/>
  <c r="J12" i="131"/>
  <c r="H16" i="102"/>
  <c r="F17" i="102"/>
  <c r="L13" i="102"/>
  <c r="J14" i="142"/>
  <c r="H16" i="101"/>
  <c r="F21" i="142"/>
  <c r="L15" i="103"/>
  <c r="J17" i="44"/>
  <c r="F19" i="102"/>
  <c r="D20" i="131"/>
  <c r="C20" i="131"/>
  <c r="C18" i="102"/>
  <c r="D18" i="102"/>
  <c r="D16" i="100"/>
  <c r="C16" i="100"/>
  <c r="D13" i="142"/>
  <c r="C13" i="142"/>
  <c r="C11" i="103"/>
  <c r="D11" i="103"/>
  <c r="C9" i="101"/>
  <c r="D9" i="101"/>
  <c r="M17" i="44"/>
  <c r="K18" i="102"/>
  <c r="I19" i="142"/>
  <c r="G20" i="142"/>
  <c r="M10" i="44"/>
  <c r="I12" i="142"/>
  <c r="G13" i="142"/>
  <c r="E15" i="101"/>
  <c r="M16" i="131"/>
  <c r="I19" i="103"/>
  <c r="M21" i="100"/>
  <c r="F7" i="102"/>
  <c r="M21" i="44"/>
  <c r="H8" i="103"/>
  <c r="F9" i="103"/>
  <c r="H8" i="102"/>
  <c r="F9" i="102"/>
  <c r="L7" i="131"/>
  <c r="J9" i="100"/>
  <c r="H10" i="103"/>
  <c r="F11" i="103"/>
  <c r="H8" i="100"/>
  <c r="M15" i="142"/>
  <c r="K17" i="101"/>
  <c r="I18" i="131"/>
  <c r="G19" i="131"/>
  <c r="E18" i="142"/>
  <c r="M13" i="102"/>
  <c r="K14" i="142"/>
  <c r="I16" i="101"/>
  <c r="G17" i="101"/>
  <c r="E18" i="131"/>
  <c r="L14" i="44"/>
  <c r="J15" i="102"/>
  <c r="H16" i="142"/>
  <c r="F20" i="44"/>
  <c r="F15" i="44"/>
  <c r="L11" i="103"/>
  <c r="J13" i="44"/>
  <c r="H14" i="102"/>
  <c r="F13" i="100"/>
  <c r="J8" i="101"/>
  <c r="H9" i="131"/>
  <c r="F15" i="101"/>
  <c r="E13" i="103"/>
  <c r="J10" i="102"/>
  <c r="H14" i="100"/>
  <c r="F10" i="103"/>
  <c r="L11" i="100"/>
  <c r="J12" i="103"/>
  <c r="H14" i="44"/>
  <c r="F19" i="103"/>
  <c r="L13" i="101"/>
  <c r="J14" i="131"/>
  <c r="H16" i="100"/>
  <c r="F17" i="44"/>
  <c r="D7" i="44"/>
  <c r="C7" i="44"/>
  <c r="C20" i="103"/>
  <c r="D20" i="103"/>
  <c r="D18" i="101"/>
  <c r="C18" i="101"/>
  <c r="C16" i="44"/>
  <c r="D16" i="44"/>
  <c r="D13" i="131"/>
  <c r="C13" i="131"/>
  <c r="D11" i="102"/>
  <c r="C11" i="102"/>
  <c r="C9" i="100"/>
  <c r="D9" i="100"/>
  <c r="M14" i="131"/>
  <c r="K16" i="100"/>
  <c r="I17" i="103"/>
  <c r="G18" i="103"/>
  <c r="E20" i="44"/>
  <c r="M7" i="131"/>
  <c r="K9" i="100"/>
  <c r="I10" i="103"/>
  <c r="G11" i="103"/>
  <c r="E13" i="44"/>
  <c r="M14" i="102"/>
  <c r="I17" i="101"/>
  <c r="G18" i="101"/>
  <c r="E19" i="131"/>
  <c r="M18" i="142"/>
  <c r="K20" i="101"/>
  <c r="I21" i="131"/>
  <c r="M18" i="131"/>
  <c r="K20" i="100"/>
  <c r="I21" i="103"/>
  <c r="F7" i="101"/>
  <c r="M20" i="142"/>
  <c r="F7" i="44"/>
  <c r="H8" i="101"/>
  <c r="F9" i="101"/>
  <c r="M20" i="103"/>
  <c r="F9" i="100"/>
  <c r="K15" i="44"/>
  <c r="I16" i="102"/>
  <c r="G17" i="102"/>
  <c r="E16" i="103"/>
  <c r="M11" i="100"/>
  <c r="K12" i="103"/>
  <c r="I14" i="44"/>
  <c r="G15" i="44"/>
  <c r="L11" i="131"/>
  <c r="J13" i="100"/>
  <c r="H14" i="103"/>
  <c r="F17" i="142"/>
  <c r="F15" i="100"/>
  <c r="L9" i="101"/>
  <c r="J10" i="131"/>
  <c r="H12" i="100"/>
  <c r="F13" i="44"/>
  <c r="H7" i="102"/>
  <c r="F10" i="131"/>
  <c r="J8" i="100"/>
  <c r="H11" i="142"/>
  <c r="L8" i="142"/>
  <c r="J10" i="101"/>
  <c r="H11" i="131"/>
  <c r="F17" i="101"/>
  <c r="L11" i="44"/>
  <c r="J12" i="102"/>
  <c r="H13" i="142"/>
  <c r="F17" i="100"/>
  <c r="C7" i="142"/>
  <c r="D7" i="142"/>
  <c r="D20" i="102"/>
  <c r="C20" i="102"/>
  <c r="D18" i="100"/>
  <c r="C18" i="100"/>
  <c r="D15" i="142"/>
  <c r="C15" i="142"/>
  <c r="D13" i="103"/>
  <c r="C13" i="103"/>
  <c r="D11" i="101"/>
  <c r="C11" i="101"/>
  <c r="C9" i="44"/>
  <c r="D9" i="44"/>
  <c r="M12" i="102"/>
  <c r="K13" i="142"/>
  <c r="I15" i="101"/>
  <c r="G16" i="101"/>
  <c r="E17" i="131"/>
  <c r="I8" i="101"/>
  <c r="G9" i="101"/>
  <c r="E10" i="131"/>
  <c r="M12" i="100"/>
  <c r="K13" i="103"/>
  <c r="I15" i="44"/>
  <c r="G16" i="44"/>
  <c r="E17" i="102"/>
  <c r="M16" i="103"/>
  <c r="K18" i="44"/>
  <c r="I19" i="102"/>
  <c r="G20" i="102"/>
  <c r="E21" i="142"/>
  <c r="M16" i="102"/>
  <c r="K17" i="142"/>
  <c r="I19" i="101"/>
  <c r="M18" i="103"/>
  <c r="K20" i="44"/>
  <c r="I21" i="102"/>
  <c r="F7" i="100"/>
  <c r="M20" i="131"/>
  <c r="M18" i="101"/>
  <c r="K19" i="131"/>
  <c r="I21" i="100"/>
  <c r="M11" i="101"/>
  <c r="K12" i="131"/>
  <c r="I14" i="100"/>
  <c r="G15" i="100"/>
  <c r="E14" i="101"/>
  <c r="M8" i="142"/>
  <c r="K10" i="101"/>
  <c r="I11" i="131"/>
  <c r="G12" i="131"/>
  <c r="L9" i="102"/>
  <c r="J10" i="142"/>
  <c r="H12" i="101"/>
  <c r="F15" i="103"/>
  <c r="L7" i="44"/>
  <c r="J8" i="102"/>
  <c r="H9" i="142"/>
  <c r="F10" i="142"/>
  <c r="M19" i="142"/>
  <c r="K21" i="101"/>
  <c r="F8" i="102"/>
  <c r="H9" i="103"/>
  <c r="J8" i="44"/>
  <c r="H9" i="102"/>
  <c r="F12" i="131"/>
  <c r="E9" i="44"/>
  <c r="L8" i="131"/>
  <c r="J10" i="100"/>
  <c r="H11" i="103"/>
  <c r="F14" i="142"/>
  <c r="H47" i="24"/>
  <c r="G47" i="24"/>
  <c r="F47" i="24"/>
  <c r="E47" i="24"/>
  <c r="D47" i="24"/>
  <c r="C47" i="24"/>
  <c r="H46" i="24"/>
  <c r="G46" i="24"/>
  <c r="F46" i="24"/>
  <c r="E46" i="24"/>
  <c r="D46" i="24"/>
  <c r="C46" i="24"/>
  <c r="H45" i="24"/>
  <c r="G45" i="24"/>
  <c r="F45" i="24"/>
  <c r="E45" i="24"/>
  <c r="D45" i="24"/>
  <c r="C45" i="24"/>
  <c r="H44" i="24"/>
  <c r="G44" i="24"/>
  <c r="F44" i="24"/>
  <c r="E44" i="24"/>
  <c r="D44" i="24"/>
  <c r="C44" i="24"/>
  <c r="H43" i="24"/>
  <c r="G43" i="24"/>
  <c r="F43" i="24"/>
  <c r="E43" i="24"/>
  <c r="D43" i="24"/>
  <c r="C43" i="24"/>
  <c r="H42" i="24"/>
  <c r="G42" i="24"/>
  <c r="F42" i="24"/>
  <c r="E42" i="24"/>
  <c r="D42" i="24"/>
  <c r="C42" i="24"/>
  <c r="H41" i="24"/>
  <c r="G41" i="24"/>
  <c r="F41" i="24"/>
  <c r="E41" i="24"/>
  <c r="D41" i="24"/>
  <c r="C41" i="24"/>
  <c r="H40" i="24"/>
  <c r="G40" i="24"/>
  <c r="F40" i="24"/>
  <c r="E40" i="24"/>
  <c r="D40" i="24"/>
  <c r="C40" i="24"/>
  <c r="H39" i="24"/>
  <c r="G39" i="24"/>
  <c r="F39" i="24"/>
  <c r="E39" i="24"/>
  <c r="D39" i="24"/>
  <c r="C39" i="24"/>
  <c r="H38" i="24"/>
  <c r="G38" i="24"/>
  <c r="F38" i="24"/>
  <c r="E38" i="24"/>
  <c r="D38" i="24"/>
  <c r="C38" i="24"/>
  <c r="H37" i="24"/>
  <c r="G37" i="24"/>
  <c r="F37" i="24"/>
  <c r="E37" i="24"/>
  <c r="D37" i="24"/>
  <c r="C37" i="24"/>
  <c r="I71" i="124"/>
  <c r="H71" i="124"/>
  <c r="G71" i="124"/>
  <c r="F71" i="124"/>
  <c r="E71" i="124"/>
  <c r="D71" i="124"/>
  <c r="I70" i="124"/>
  <c r="H70" i="124"/>
  <c r="G70" i="124"/>
  <c r="F70" i="124"/>
  <c r="E70" i="124"/>
  <c r="D70" i="124"/>
  <c r="I69" i="124"/>
  <c r="H69" i="124"/>
  <c r="G69" i="124"/>
  <c r="F69" i="124"/>
  <c r="E69" i="124"/>
  <c r="D69" i="124"/>
  <c r="I68" i="124"/>
  <c r="H68" i="124"/>
  <c r="G68" i="124"/>
  <c r="F68" i="124"/>
  <c r="E68" i="124"/>
  <c r="D68" i="124"/>
  <c r="I67" i="124"/>
  <c r="H67" i="124"/>
  <c r="G67" i="124"/>
  <c r="F67" i="124"/>
  <c r="E67" i="124"/>
  <c r="D67" i="124"/>
  <c r="I66" i="124"/>
  <c r="H66" i="124"/>
  <c r="G66" i="124"/>
  <c r="F66" i="124"/>
  <c r="E66" i="124"/>
  <c r="D66" i="124"/>
  <c r="I65" i="124"/>
  <c r="H65" i="124"/>
  <c r="G65" i="124"/>
  <c r="F65" i="124"/>
  <c r="E65" i="124"/>
  <c r="D65" i="124"/>
  <c r="I64" i="124"/>
  <c r="H64" i="124"/>
  <c r="G64" i="124"/>
  <c r="F64" i="124"/>
  <c r="E64" i="124"/>
  <c r="D64" i="124"/>
  <c r="I63" i="124"/>
  <c r="H63" i="124"/>
  <c r="G63" i="124"/>
  <c r="F63" i="124"/>
  <c r="E63" i="124"/>
  <c r="D63" i="124"/>
  <c r="I62" i="124"/>
  <c r="H62" i="124"/>
  <c r="G62" i="124"/>
  <c r="F62" i="124"/>
  <c r="E62" i="124"/>
  <c r="D62" i="124"/>
  <c r="I61" i="124"/>
  <c r="H61" i="124"/>
  <c r="G61" i="124"/>
  <c r="F61" i="124"/>
  <c r="E61" i="124"/>
  <c r="D61" i="124"/>
  <c r="I60" i="124"/>
  <c r="H60" i="124"/>
  <c r="G60" i="124"/>
  <c r="F60" i="124"/>
  <c r="E60" i="124"/>
  <c r="D60" i="124"/>
  <c r="I59" i="124"/>
  <c r="H59" i="124"/>
  <c r="G59" i="124"/>
  <c r="F59" i="124"/>
  <c r="E59" i="124"/>
  <c r="D59" i="124"/>
  <c r="I58" i="124"/>
  <c r="H58" i="124"/>
  <c r="G58" i="124"/>
  <c r="F58" i="124"/>
  <c r="E58" i="124"/>
  <c r="D58" i="124"/>
  <c r="I57" i="124"/>
  <c r="H57" i="124"/>
  <c r="G57" i="124"/>
  <c r="F57" i="124"/>
  <c r="E57" i="124"/>
  <c r="D57" i="124"/>
  <c r="I56" i="124"/>
  <c r="H56" i="124"/>
  <c r="G56" i="124"/>
  <c r="F56" i="124"/>
  <c r="E56" i="124"/>
  <c r="D56" i="124"/>
  <c r="I55" i="124"/>
  <c r="H55" i="124"/>
  <c r="G55" i="124"/>
  <c r="F55" i="124"/>
  <c r="E55" i="124"/>
  <c r="D55" i="124"/>
  <c r="I54" i="124"/>
  <c r="H54" i="124"/>
  <c r="G54" i="124"/>
  <c r="F54" i="124"/>
  <c r="E54" i="124"/>
  <c r="D54" i="124"/>
  <c r="I53" i="124"/>
  <c r="H53" i="124"/>
  <c r="G53" i="124"/>
  <c r="F53" i="124"/>
  <c r="E53" i="124"/>
  <c r="D53" i="124"/>
  <c r="I71" i="123"/>
  <c r="H71" i="123"/>
  <c r="G71" i="123"/>
  <c r="F71" i="123"/>
  <c r="E71" i="123"/>
  <c r="D71" i="123"/>
  <c r="I70" i="123"/>
  <c r="H70" i="123"/>
  <c r="G70" i="123"/>
  <c r="F70" i="123"/>
  <c r="E70" i="123"/>
  <c r="D70" i="123"/>
  <c r="I69" i="123"/>
  <c r="H69" i="123"/>
  <c r="G69" i="123"/>
  <c r="F69" i="123"/>
  <c r="E69" i="123"/>
  <c r="D69" i="123"/>
  <c r="I68" i="123"/>
  <c r="H68" i="123"/>
  <c r="G68" i="123"/>
  <c r="F68" i="123"/>
  <c r="E68" i="123"/>
  <c r="D68" i="123"/>
  <c r="I67" i="123"/>
  <c r="H67" i="123"/>
  <c r="G67" i="123"/>
  <c r="F67" i="123"/>
  <c r="E67" i="123"/>
  <c r="D67" i="123"/>
  <c r="I66" i="123"/>
  <c r="H66" i="123"/>
  <c r="G66" i="123"/>
  <c r="F66" i="123"/>
  <c r="E66" i="123"/>
  <c r="D66" i="123"/>
  <c r="I65" i="123"/>
  <c r="H65" i="123"/>
  <c r="G65" i="123"/>
  <c r="F65" i="123"/>
  <c r="E65" i="123"/>
  <c r="D65" i="123"/>
  <c r="I64" i="123"/>
  <c r="H64" i="123"/>
  <c r="G64" i="123"/>
  <c r="F64" i="123"/>
  <c r="E64" i="123"/>
  <c r="D64" i="123"/>
  <c r="I63" i="123"/>
  <c r="H63" i="123"/>
  <c r="G63" i="123"/>
  <c r="F63" i="123"/>
  <c r="E63" i="123"/>
  <c r="D63" i="123"/>
  <c r="I62" i="123"/>
  <c r="H62" i="123"/>
  <c r="G62" i="123"/>
  <c r="F62" i="123"/>
  <c r="E62" i="123"/>
  <c r="D62" i="123"/>
  <c r="I61" i="123"/>
  <c r="H61" i="123"/>
  <c r="G61" i="123"/>
  <c r="F61" i="123"/>
  <c r="E61" i="123"/>
  <c r="D61" i="123"/>
  <c r="I60" i="123"/>
  <c r="H60" i="123"/>
  <c r="G60" i="123"/>
  <c r="F60" i="123"/>
  <c r="E60" i="123"/>
  <c r="D60" i="123"/>
  <c r="I59" i="123"/>
  <c r="H59" i="123"/>
  <c r="G59" i="123"/>
  <c r="F59" i="123"/>
  <c r="E59" i="123"/>
  <c r="D59" i="123"/>
  <c r="I58" i="123"/>
  <c r="H58" i="123"/>
  <c r="G58" i="123"/>
  <c r="F58" i="123"/>
  <c r="E58" i="123"/>
  <c r="D58" i="123"/>
  <c r="H57" i="123"/>
  <c r="G57" i="123"/>
  <c r="F57" i="123"/>
  <c r="E57" i="123"/>
  <c r="D57" i="123"/>
  <c r="I56" i="123"/>
  <c r="H56" i="123"/>
  <c r="G56" i="123"/>
  <c r="F56" i="123"/>
  <c r="E56" i="123"/>
  <c r="D56" i="123"/>
  <c r="I55" i="123"/>
  <c r="H55" i="123"/>
  <c r="G55" i="123"/>
  <c r="F55" i="123"/>
  <c r="E55" i="123"/>
  <c r="D55" i="123"/>
  <c r="I54" i="123"/>
  <c r="H54" i="123"/>
  <c r="G54" i="123"/>
  <c r="F54" i="123"/>
  <c r="E54" i="123"/>
  <c r="D54" i="123"/>
  <c r="I53" i="123"/>
  <c r="H53" i="123"/>
  <c r="G53" i="123"/>
  <c r="F53" i="123"/>
  <c r="E53" i="123"/>
  <c r="D53" i="123"/>
  <c r="I71" i="122"/>
  <c r="H71" i="122"/>
  <c r="G71" i="122"/>
  <c r="F71" i="122"/>
  <c r="E71" i="122"/>
  <c r="D71" i="122"/>
  <c r="I70" i="122"/>
  <c r="H70" i="122"/>
  <c r="G70" i="122"/>
  <c r="F70" i="122"/>
  <c r="E70" i="122"/>
  <c r="D70" i="122"/>
  <c r="I69" i="122"/>
  <c r="H69" i="122"/>
  <c r="G69" i="122"/>
  <c r="F69" i="122"/>
  <c r="E69" i="122"/>
  <c r="D69" i="122"/>
  <c r="I68" i="122"/>
  <c r="H68" i="122"/>
  <c r="G68" i="122"/>
  <c r="F68" i="122"/>
  <c r="E68" i="122"/>
  <c r="D68" i="122"/>
  <c r="I67" i="122"/>
  <c r="H67" i="122"/>
  <c r="G67" i="122"/>
  <c r="F67" i="122"/>
  <c r="E67" i="122"/>
  <c r="D67" i="122"/>
  <c r="I66" i="122"/>
  <c r="H66" i="122"/>
  <c r="G66" i="122"/>
  <c r="F66" i="122"/>
  <c r="E66" i="122"/>
  <c r="D66" i="122"/>
  <c r="I65" i="122"/>
  <c r="H65" i="122"/>
  <c r="G65" i="122"/>
  <c r="F65" i="122"/>
  <c r="E65" i="122"/>
  <c r="D65" i="122"/>
  <c r="I64" i="122"/>
  <c r="H64" i="122"/>
  <c r="G64" i="122"/>
  <c r="F64" i="122"/>
  <c r="E64" i="122"/>
  <c r="D64" i="122"/>
  <c r="I63" i="122"/>
  <c r="H63" i="122"/>
  <c r="G63" i="122"/>
  <c r="F63" i="122"/>
  <c r="E63" i="122"/>
  <c r="D63" i="122"/>
  <c r="I62" i="122"/>
  <c r="H62" i="122"/>
  <c r="G62" i="122"/>
  <c r="F62" i="122"/>
  <c r="E62" i="122"/>
  <c r="D62" i="122"/>
  <c r="I61" i="122"/>
  <c r="H61" i="122"/>
  <c r="G61" i="122"/>
  <c r="F61" i="122"/>
  <c r="E61" i="122"/>
  <c r="D61" i="122"/>
  <c r="I60" i="122"/>
  <c r="H60" i="122"/>
  <c r="G60" i="122"/>
  <c r="F60" i="122"/>
  <c r="E60" i="122"/>
  <c r="D60" i="122"/>
  <c r="I59" i="122"/>
  <c r="H59" i="122"/>
  <c r="G59" i="122"/>
  <c r="F59" i="122"/>
  <c r="E59" i="122"/>
  <c r="D59" i="122"/>
  <c r="I58" i="122"/>
  <c r="H58" i="122"/>
  <c r="G58" i="122"/>
  <c r="F58" i="122"/>
  <c r="E58" i="122"/>
  <c r="D58" i="122"/>
  <c r="I57" i="122"/>
  <c r="H57" i="122"/>
  <c r="G57" i="122"/>
  <c r="F57" i="122"/>
  <c r="E57" i="122"/>
  <c r="D57" i="122"/>
  <c r="I56" i="122"/>
  <c r="H56" i="122"/>
  <c r="G56" i="122"/>
  <c r="F56" i="122"/>
  <c r="E56" i="122"/>
  <c r="D56" i="122"/>
  <c r="I55" i="122"/>
  <c r="H55" i="122"/>
  <c r="G55" i="122"/>
  <c r="F55" i="122"/>
  <c r="E55" i="122"/>
  <c r="D55" i="122"/>
  <c r="I54" i="122"/>
  <c r="H54" i="122"/>
  <c r="G54" i="122"/>
  <c r="F54" i="122"/>
  <c r="E54" i="122"/>
  <c r="D54" i="122"/>
  <c r="I53" i="122"/>
  <c r="H53" i="122"/>
  <c r="G53" i="122"/>
  <c r="F53" i="122"/>
  <c r="E53" i="122"/>
  <c r="D53" i="122"/>
  <c r="I71" i="121"/>
  <c r="H71" i="121"/>
  <c r="G71" i="121"/>
  <c r="F71" i="121"/>
  <c r="E71" i="121"/>
  <c r="D71" i="121"/>
  <c r="I70" i="121"/>
  <c r="H70" i="121"/>
  <c r="G70" i="121"/>
  <c r="F70" i="121"/>
  <c r="E70" i="121"/>
  <c r="D70" i="121"/>
  <c r="I69" i="121"/>
  <c r="H69" i="121"/>
  <c r="G69" i="121"/>
  <c r="F69" i="121"/>
  <c r="E69" i="121"/>
  <c r="D69" i="121"/>
  <c r="I68" i="121"/>
  <c r="H68" i="121"/>
  <c r="G68" i="121"/>
  <c r="F68" i="121"/>
  <c r="E68" i="121"/>
  <c r="D68" i="121"/>
  <c r="I67" i="121"/>
  <c r="H67" i="121"/>
  <c r="G67" i="121"/>
  <c r="F67" i="121"/>
  <c r="E67" i="121"/>
  <c r="D67" i="121"/>
  <c r="I66" i="121"/>
  <c r="H66" i="121"/>
  <c r="G66" i="121"/>
  <c r="F66" i="121"/>
  <c r="E66" i="121"/>
  <c r="D66" i="121"/>
  <c r="I65" i="121"/>
  <c r="H65" i="121"/>
  <c r="G65" i="121"/>
  <c r="F65" i="121"/>
  <c r="E65" i="121"/>
  <c r="D65" i="121"/>
  <c r="I64" i="121"/>
  <c r="H64" i="121"/>
  <c r="G64" i="121"/>
  <c r="F64" i="121"/>
  <c r="E64" i="121"/>
  <c r="D64" i="121"/>
  <c r="I63" i="121"/>
  <c r="H63" i="121"/>
  <c r="G63" i="121"/>
  <c r="F63" i="121"/>
  <c r="E63" i="121"/>
  <c r="D63" i="121"/>
  <c r="I62" i="121"/>
  <c r="H62" i="121"/>
  <c r="G62" i="121"/>
  <c r="F62" i="121"/>
  <c r="E62" i="121"/>
  <c r="D62" i="121"/>
  <c r="I61" i="121"/>
  <c r="H61" i="121"/>
  <c r="G61" i="121"/>
  <c r="F61" i="121"/>
  <c r="E61" i="121"/>
  <c r="D61" i="121"/>
  <c r="I60" i="121"/>
  <c r="H60" i="121"/>
  <c r="G60" i="121"/>
  <c r="F60" i="121"/>
  <c r="E60" i="121"/>
  <c r="D60" i="121"/>
  <c r="I59" i="121"/>
  <c r="H59" i="121"/>
  <c r="G59" i="121"/>
  <c r="F59" i="121"/>
  <c r="E59" i="121"/>
  <c r="D59" i="121"/>
  <c r="I58" i="121"/>
  <c r="H58" i="121"/>
  <c r="G58" i="121"/>
  <c r="F58" i="121"/>
  <c r="E58" i="121"/>
  <c r="D58" i="121"/>
  <c r="I57" i="121"/>
  <c r="H57" i="121"/>
  <c r="G57" i="121"/>
  <c r="F57" i="121"/>
  <c r="E57" i="121"/>
  <c r="D57" i="121"/>
  <c r="I56" i="121"/>
  <c r="H56" i="121"/>
  <c r="G56" i="121"/>
  <c r="F56" i="121"/>
  <c r="E56" i="121"/>
  <c r="D56" i="121"/>
  <c r="I55" i="121"/>
  <c r="H55" i="121"/>
  <c r="G55" i="121"/>
  <c r="F55" i="121"/>
  <c r="E55" i="121"/>
  <c r="D55" i="121"/>
  <c r="I54" i="121"/>
  <c r="H54" i="121"/>
  <c r="G54" i="121"/>
  <c r="F54" i="121"/>
  <c r="E54" i="121"/>
  <c r="D54" i="121"/>
  <c r="I53" i="121"/>
  <c r="H53" i="121"/>
  <c r="G53" i="121"/>
  <c r="F53" i="121"/>
  <c r="E53" i="121"/>
  <c r="D53" i="121"/>
  <c r="I71" i="120"/>
  <c r="H71" i="120"/>
  <c r="G71" i="120"/>
  <c r="F71" i="120"/>
  <c r="E71" i="120"/>
  <c r="D71" i="120"/>
  <c r="I70" i="120"/>
  <c r="H70" i="120"/>
  <c r="G70" i="120"/>
  <c r="F70" i="120"/>
  <c r="E70" i="120"/>
  <c r="D70" i="120"/>
  <c r="I69" i="120"/>
  <c r="H69" i="120"/>
  <c r="G69" i="120"/>
  <c r="F69" i="120"/>
  <c r="E69" i="120"/>
  <c r="D69" i="120"/>
  <c r="I68" i="120"/>
  <c r="H68" i="120"/>
  <c r="G68" i="120"/>
  <c r="F68" i="120"/>
  <c r="E68" i="120"/>
  <c r="D68" i="120"/>
  <c r="I67" i="120"/>
  <c r="H67" i="120"/>
  <c r="G67" i="120"/>
  <c r="F67" i="120"/>
  <c r="E67" i="120"/>
  <c r="D67" i="120"/>
  <c r="I66" i="120"/>
  <c r="H66" i="120"/>
  <c r="G66" i="120"/>
  <c r="F66" i="120"/>
  <c r="E66" i="120"/>
  <c r="D66" i="120"/>
  <c r="I65" i="120"/>
  <c r="H65" i="120"/>
  <c r="G65" i="120"/>
  <c r="F65" i="120"/>
  <c r="E65" i="120"/>
  <c r="D65" i="120"/>
  <c r="I64" i="120"/>
  <c r="H64" i="120"/>
  <c r="G64" i="120"/>
  <c r="F64" i="120"/>
  <c r="E64" i="120"/>
  <c r="D64" i="120"/>
  <c r="I63" i="120"/>
  <c r="H63" i="120"/>
  <c r="G63" i="120"/>
  <c r="F63" i="120"/>
  <c r="E63" i="120"/>
  <c r="D63" i="120"/>
  <c r="I62" i="120"/>
  <c r="H62" i="120"/>
  <c r="G62" i="120"/>
  <c r="F62" i="120"/>
  <c r="E62" i="120"/>
  <c r="D62" i="120"/>
  <c r="I61" i="120"/>
  <c r="H61" i="120"/>
  <c r="G61" i="120"/>
  <c r="F61" i="120"/>
  <c r="E61" i="120"/>
  <c r="D61" i="120"/>
  <c r="I60" i="120"/>
  <c r="H60" i="120"/>
  <c r="G60" i="120"/>
  <c r="F60" i="120"/>
  <c r="E60" i="120"/>
  <c r="D60" i="120"/>
  <c r="I59" i="120"/>
  <c r="H59" i="120"/>
  <c r="G59" i="120"/>
  <c r="F59" i="120"/>
  <c r="E59" i="120"/>
  <c r="D59" i="120"/>
  <c r="I58" i="120"/>
  <c r="H58" i="120"/>
  <c r="G58" i="120"/>
  <c r="F58" i="120"/>
  <c r="E58" i="120"/>
  <c r="D58" i="120"/>
  <c r="I57" i="120"/>
  <c r="H57" i="120"/>
  <c r="G57" i="120"/>
  <c r="F57" i="120"/>
  <c r="E57" i="120"/>
  <c r="D57" i="120"/>
  <c r="I56" i="120"/>
  <c r="H56" i="120"/>
  <c r="G56" i="120"/>
  <c r="F56" i="120"/>
  <c r="E56" i="120"/>
  <c r="D56" i="120"/>
  <c r="I55" i="120"/>
  <c r="H55" i="120"/>
  <c r="G55" i="120"/>
  <c r="F55" i="120"/>
  <c r="E55" i="120"/>
  <c r="D55" i="120"/>
  <c r="H54" i="120"/>
  <c r="G54" i="120"/>
  <c r="F54" i="120"/>
  <c r="E54" i="120"/>
  <c r="D54" i="120"/>
  <c r="I53" i="120"/>
  <c r="H53" i="120"/>
  <c r="G53" i="120"/>
  <c r="F53" i="120"/>
  <c r="E53" i="120"/>
  <c r="D53" i="120"/>
  <c r="I71" i="118"/>
  <c r="H71" i="118"/>
  <c r="G71" i="118"/>
  <c r="F71" i="118"/>
  <c r="E71" i="118"/>
  <c r="D71" i="118"/>
  <c r="I70" i="118"/>
  <c r="H70" i="118"/>
  <c r="G70" i="118"/>
  <c r="F70" i="118"/>
  <c r="E70" i="118"/>
  <c r="D70" i="118"/>
  <c r="I69" i="118"/>
  <c r="H69" i="118"/>
  <c r="G69" i="118"/>
  <c r="F69" i="118"/>
  <c r="E69" i="118"/>
  <c r="D69" i="118"/>
  <c r="I68" i="118"/>
  <c r="H68" i="118"/>
  <c r="G68" i="118"/>
  <c r="F68" i="118"/>
  <c r="E68" i="118"/>
  <c r="D68" i="118"/>
  <c r="I67" i="118"/>
  <c r="H67" i="118"/>
  <c r="G67" i="118"/>
  <c r="F67" i="118"/>
  <c r="E67" i="118"/>
  <c r="D67" i="118"/>
  <c r="I66" i="118"/>
  <c r="H66" i="118"/>
  <c r="G66" i="118"/>
  <c r="F66" i="118"/>
  <c r="E66" i="118"/>
  <c r="D66" i="118"/>
  <c r="I65" i="118"/>
  <c r="H65" i="118"/>
  <c r="G65" i="118"/>
  <c r="F65" i="118"/>
  <c r="E65" i="118"/>
  <c r="D65" i="118"/>
  <c r="I64" i="118"/>
  <c r="H64" i="118"/>
  <c r="G64" i="118"/>
  <c r="F64" i="118"/>
  <c r="E64" i="118"/>
  <c r="D64" i="118"/>
  <c r="I63" i="118"/>
  <c r="H63" i="118"/>
  <c r="G63" i="118"/>
  <c r="F63" i="118"/>
  <c r="E63" i="118"/>
  <c r="D63" i="118"/>
  <c r="I62" i="118"/>
  <c r="H62" i="118"/>
  <c r="G62" i="118"/>
  <c r="F62" i="118"/>
  <c r="E62" i="118"/>
  <c r="D62" i="118"/>
  <c r="I61" i="118"/>
  <c r="H61" i="118"/>
  <c r="G61" i="118"/>
  <c r="F61" i="118"/>
  <c r="E61" i="118"/>
  <c r="D61" i="118"/>
  <c r="I60" i="118"/>
  <c r="H60" i="118"/>
  <c r="G60" i="118"/>
  <c r="F60" i="118"/>
  <c r="E60" i="118"/>
  <c r="D60" i="118"/>
  <c r="I59" i="118"/>
  <c r="H59" i="118"/>
  <c r="G59" i="118"/>
  <c r="F59" i="118"/>
  <c r="E59" i="118"/>
  <c r="D59" i="118"/>
  <c r="I58" i="118"/>
  <c r="H58" i="118"/>
  <c r="G58" i="118"/>
  <c r="F58" i="118"/>
  <c r="E58" i="118"/>
  <c r="D58" i="118"/>
  <c r="I57" i="118"/>
  <c r="H57" i="118"/>
  <c r="G57" i="118"/>
  <c r="F57" i="118"/>
  <c r="E57" i="118"/>
  <c r="D57" i="118"/>
  <c r="I56" i="118"/>
  <c r="H56" i="118"/>
  <c r="G56" i="118"/>
  <c r="F56" i="118"/>
  <c r="E56" i="118"/>
  <c r="D56" i="118"/>
  <c r="I55" i="118"/>
  <c r="H55" i="118"/>
  <c r="G55" i="118"/>
  <c r="F55" i="118"/>
  <c r="E55" i="118"/>
  <c r="D55" i="118"/>
  <c r="I54" i="118"/>
  <c r="H54" i="118"/>
  <c r="G54" i="118"/>
  <c r="F54" i="118"/>
  <c r="E54" i="118"/>
  <c r="D54" i="118"/>
  <c r="I53" i="118"/>
  <c r="H53" i="118"/>
  <c r="G53" i="118"/>
  <c r="F53" i="118"/>
  <c r="E53" i="118"/>
  <c r="D53" i="118"/>
  <c r="I71" i="117"/>
  <c r="H71" i="117"/>
  <c r="G71" i="117"/>
  <c r="F71" i="117"/>
  <c r="E71" i="117"/>
  <c r="D71" i="117"/>
  <c r="I70" i="117"/>
  <c r="H70" i="117"/>
  <c r="G70" i="117"/>
  <c r="F70" i="117"/>
  <c r="E70" i="117"/>
  <c r="D70" i="117"/>
  <c r="I69" i="117"/>
  <c r="H69" i="117"/>
  <c r="G69" i="117"/>
  <c r="F69" i="117"/>
  <c r="E69" i="117"/>
  <c r="D69" i="117"/>
  <c r="I68" i="117"/>
  <c r="H68" i="117"/>
  <c r="G68" i="117"/>
  <c r="F68" i="117"/>
  <c r="E68" i="117"/>
  <c r="D68" i="117"/>
  <c r="I67" i="117"/>
  <c r="H67" i="117"/>
  <c r="G67" i="117"/>
  <c r="F67" i="117"/>
  <c r="E67" i="117"/>
  <c r="D67" i="117"/>
  <c r="I66" i="117"/>
  <c r="H66" i="117"/>
  <c r="G66" i="117"/>
  <c r="F66" i="117"/>
  <c r="E66" i="117"/>
  <c r="D66" i="117"/>
  <c r="I65" i="117"/>
  <c r="H65" i="117"/>
  <c r="G65" i="117"/>
  <c r="F65" i="117"/>
  <c r="E65" i="117"/>
  <c r="D65" i="117"/>
  <c r="I64" i="117"/>
  <c r="H64" i="117"/>
  <c r="G64" i="117"/>
  <c r="F64" i="117"/>
  <c r="E64" i="117"/>
  <c r="D64" i="117"/>
  <c r="I63" i="117"/>
  <c r="H63" i="117"/>
  <c r="G63" i="117"/>
  <c r="F63" i="117"/>
  <c r="E63" i="117"/>
  <c r="D63" i="117"/>
  <c r="I62" i="117"/>
  <c r="H62" i="117"/>
  <c r="G62" i="117"/>
  <c r="F62" i="117"/>
  <c r="E62" i="117"/>
  <c r="D62" i="117"/>
  <c r="I61" i="117"/>
  <c r="H61" i="117"/>
  <c r="G61" i="117"/>
  <c r="F61" i="117"/>
  <c r="E61" i="117"/>
  <c r="D61" i="117"/>
  <c r="I60" i="117"/>
  <c r="H60" i="117"/>
  <c r="G60" i="117"/>
  <c r="F60" i="117"/>
  <c r="E60" i="117"/>
  <c r="D60" i="117"/>
  <c r="I59" i="117"/>
  <c r="H59" i="117"/>
  <c r="G59" i="117"/>
  <c r="F59" i="117"/>
  <c r="E59" i="117"/>
  <c r="D59" i="117"/>
  <c r="I58" i="117"/>
  <c r="H58" i="117"/>
  <c r="G58" i="117"/>
  <c r="F58" i="117"/>
  <c r="E58" i="117"/>
  <c r="D58" i="117"/>
  <c r="I57" i="117"/>
  <c r="H57" i="117"/>
  <c r="G57" i="117"/>
  <c r="F57" i="117"/>
  <c r="E57" i="117"/>
  <c r="D57" i="117"/>
  <c r="I56" i="117"/>
  <c r="H56" i="117"/>
  <c r="G56" i="117"/>
  <c r="F56" i="117"/>
  <c r="E56" i="117"/>
  <c r="D56" i="117"/>
  <c r="I55" i="117"/>
  <c r="H55" i="117"/>
  <c r="G55" i="117"/>
  <c r="F55" i="117"/>
  <c r="E55" i="117"/>
  <c r="D55" i="117"/>
  <c r="I54" i="117"/>
  <c r="H54" i="117"/>
  <c r="G54" i="117"/>
  <c r="F54" i="117"/>
  <c r="E54" i="117"/>
  <c r="D54" i="117"/>
  <c r="I53" i="117"/>
  <c r="H53" i="117"/>
  <c r="G53" i="117"/>
  <c r="F53" i="117"/>
  <c r="E53" i="117"/>
  <c r="D53" i="117"/>
  <c r="I71" i="116"/>
  <c r="H71" i="116"/>
  <c r="G71" i="116"/>
  <c r="F71" i="116"/>
  <c r="E71" i="116"/>
  <c r="D71" i="116"/>
  <c r="I70" i="116"/>
  <c r="H70" i="116"/>
  <c r="G70" i="116"/>
  <c r="F70" i="116"/>
  <c r="E70" i="116"/>
  <c r="D70" i="116"/>
  <c r="I69" i="116"/>
  <c r="H69" i="116"/>
  <c r="G69" i="116"/>
  <c r="F69" i="116"/>
  <c r="E69" i="116"/>
  <c r="D69" i="116"/>
  <c r="I68" i="116"/>
  <c r="H68" i="116"/>
  <c r="G68" i="116"/>
  <c r="F68" i="116"/>
  <c r="E68" i="116"/>
  <c r="D68" i="116"/>
  <c r="I67" i="116"/>
  <c r="H67" i="116"/>
  <c r="G67" i="116"/>
  <c r="F67" i="116"/>
  <c r="E67" i="116"/>
  <c r="D67" i="116"/>
  <c r="I66" i="116"/>
  <c r="H66" i="116"/>
  <c r="G66" i="116"/>
  <c r="F66" i="116"/>
  <c r="E66" i="116"/>
  <c r="D66" i="116"/>
  <c r="I65" i="116"/>
  <c r="H65" i="116"/>
  <c r="G65" i="116"/>
  <c r="F65" i="116"/>
  <c r="E65" i="116"/>
  <c r="D65" i="116"/>
  <c r="I64" i="116"/>
  <c r="H64" i="116"/>
  <c r="G64" i="116"/>
  <c r="F64" i="116"/>
  <c r="E64" i="116"/>
  <c r="D64" i="116"/>
  <c r="I63" i="116"/>
  <c r="H63" i="116"/>
  <c r="G63" i="116"/>
  <c r="F63" i="116"/>
  <c r="E63" i="116"/>
  <c r="D63" i="116"/>
  <c r="I62" i="116"/>
  <c r="H62" i="116"/>
  <c r="G62" i="116"/>
  <c r="F62" i="116"/>
  <c r="E62" i="116"/>
  <c r="D62" i="116"/>
  <c r="I61" i="116"/>
  <c r="H61" i="116"/>
  <c r="G61" i="116"/>
  <c r="F61" i="116"/>
  <c r="E61" i="116"/>
  <c r="D61" i="116"/>
  <c r="I60" i="116"/>
  <c r="H60" i="116"/>
  <c r="G60" i="116"/>
  <c r="F60" i="116"/>
  <c r="E60" i="116"/>
  <c r="D60" i="116"/>
  <c r="I59" i="116"/>
  <c r="H59" i="116"/>
  <c r="G59" i="116"/>
  <c r="F59" i="116"/>
  <c r="E59" i="116"/>
  <c r="D59" i="116"/>
  <c r="I58" i="116"/>
  <c r="H58" i="116"/>
  <c r="G58" i="116"/>
  <c r="F58" i="116"/>
  <c r="E58" i="116"/>
  <c r="D58" i="116"/>
  <c r="I57" i="116"/>
  <c r="H57" i="116"/>
  <c r="G57" i="116"/>
  <c r="F57" i="116"/>
  <c r="E57" i="116"/>
  <c r="D57" i="116"/>
  <c r="I56" i="116"/>
  <c r="H56" i="116"/>
  <c r="G56" i="116"/>
  <c r="F56" i="116"/>
  <c r="E56" i="116"/>
  <c r="D56" i="116"/>
  <c r="I55" i="116"/>
  <c r="H55" i="116"/>
  <c r="G55" i="116"/>
  <c r="F55" i="116"/>
  <c r="E55" i="116"/>
  <c r="D55" i="116"/>
  <c r="I54" i="116"/>
  <c r="H54" i="116"/>
  <c r="G54" i="116"/>
  <c r="F54" i="116"/>
  <c r="E54" i="116"/>
  <c r="D54" i="116"/>
  <c r="I53" i="116"/>
  <c r="H53" i="116"/>
  <c r="G53" i="116"/>
  <c r="F53" i="116"/>
  <c r="E53" i="116"/>
  <c r="D53" i="116"/>
  <c r="I48" i="124"/>
  <c r="H48" i="124"/>
  <c r="G48" i="124"/>
  <c r="F48" i="124"/>
  <c r="E48" i="124"/>
  <c r="D48" i="124"/>
  <c r="C48" i="124"/>
  <c r="I47" i="124"/>
  <c r="H47" i="124"/>
  <c r="G47" i="124"/>
  <c r="F47" i="124"/>
  <c r="E47" i="124"/>
  <c r="D47" i="124"/>
  <c r="C47" i="124"/>
  <c r="I46" i="124"/>
  <c r="H46" i="124"/>
  <c r="G46" i="124"/>
  <c r="F46" i="124"/>
  <c r="E46" i="124"/>
  <c r="D46" i="124"/>
  <c r="C46" i="124"/>
  <c r="I45" i="124"/>
  <c r="H45" i="124"/>
  <c r="G45" i="124"/>
  <c r="F45" i="124"/>
  <c r="E45" i="124"/>
  <c r="D45" i="124"/>
  <c r="C45" i="124"/>
  <c r="I44" i="124"/>
  <c r="H44" i="124"/>
  <c r="G44" i="124"/>
  <c r="F44" i="124"/>
  <c r="E44" i="124"/>
  <c r="D44" i="124"/>
  <c r="C44" i="124"/>
  <c r="I43" i="124"/>
  <c r="H43" i="124"/>
  <c r="G43" i="124"/>
  <c r="F43" i="124"/>
  <c r="E43" i="124"/>
  <c r="D43" i="124"/>
  <c r="C43" i="124"/>
  <c r="I42" i="124"/>
  <c r="H42" i="124"/>
  <c r="G42" i="124"/>
  <c r="F42" i="124"/>
  <c r="E42" i="124"/>
  <c r="D42" i="124"/>
  <c r="C42" i="124"/>
  <c r="I41" i="124"/>
  <c r="H41" i="124"/>
  <c r="G41" i="124"/>
  <c r="F41" i="124"/>
  <c r="E41" i="124"/>
  <c r="D41" i="124"/>
  <c r="C41" i="124"/>
  <c r="I40" i="124"/>
  <c r="H40" i="124"/>
  <c r="G40" i="124"/>
  <c r="F40" i="124"/>
  <c r="E40" i="124"/>
  <c r="D40" i="124"/>
  <c r="C40" i="124"/>
  <c r="I39" i="124"/>
  <c r="H39" i="124"/>
  <c r="G39" i="124"/>
  <c r="F39" i="124"/>
  <c r="E39" i="124"/>
  <c r="D39" i="124"/>
  <c r="C39" i="124"/>
  <c r="I38" i="124"/>
  <c r="H38" i="124"/>
  <c r="G38" i="124"/>
  <c r="F38" i="124"/>
  <c r="E38" i="124"/>
  <c r="D38" i="124"/>
  <c r="C38" i="124"/>
  <c r="I37" i="124"/>
  <c r="H37" i="124"/>
  <c r="G37" i="124"/>
  <c r="F37" i="124"/>
  <c r="E37" i="124"/>
  <c r="D37" i="124"/>
  <c r="C37" i="124"/>
  <c r="I36" i="124"/>
  <c r="H36" i="124"/>
  <c r="G36" i="124"/>
  <c r="F36" i="124"/>
  <c r="E36" i="124"/>
  <c r="D36" i="124"/>
  <c r="C36" i="124"/>
  <c r="I35" i="124"/>
  <c r="H35" i="124"/>
  <c r="G35" i="124"/>
  <c r="F35" i="124"/>
  <c r="E35" i="124"/>
  <c r="D35" i="124"/>
  <c r="C35" i="124"/>
  <c r="I34" i="124"/>
  <c r="H34" i="124"/>
  <c r="G34" i="124"/>
  <c r="F34" i="124"/>
  <c r="E34" i="124"/>
  <c r="D34" i="124"/>
  <c r="C34" i="124"/>
  <c r="I33" i="124"/>
  <c r="H33" i="124"/>
  <c r="G33" i="124"/>
  <c r="F33" i="124"/>
  <c r="E33" i="124"/>
  <c r="D33" i="124"/>
  <c r="C33" i="124"/>
  <c r="I32" i="124"/>
  <c r="H32" i="124"/>
  <c r="G32" i="124"/>
  <c r="F32" i="124"/>
  <c r="E32" i="124"/>
  <c r="D32" i="124"/>
  <c r="C32" i="124"/>
  <c r="I31" i="124"/>
  <c r="H31" i="124"/>
  <c r="G31" i="124"/>
  <c r="F31" i="124"/>
  <c r="E31" i="124"/>
  <c r="D31" i="124"/>
  <c r="C31" i="124"/>
  <c r="I30" i="124"/>
  <c r="H30" i="124"/>
  <c r="G30" i="124"/>
  <c r="F30" i="124"/>
  <c r="E30" i="124"/>
  <c r="D30" i="124"/>
  <c r="C30" i="124"/>
  <c r="I48" i="123"/>
  <c r="H48" i="123"/>
  <c r="G48" i="123"/>
  <c r="F48" i="123"/>
  <c r="E48" i="123"/>
  <c r="D48" i="123"/>
  <c r="C48" i="123"/>
  <c r="I47" i="123"/>
  <c r="H47" i="123"/>
  <c r="G47" i="123"/>
  <c r="F47" i="123"/>
  <c r="E47" i="123"/>
  <c r="D47" i="123"/>
  <c r="C47" i="123"/>
  <c r="I46" i="123"/>
  <c r="H46" i="123"/>
  <c r="G46" i="123"/>
  <c r="F46" i="123"/>
  <c r="E46" i="123"/>
  <c r="D46" i="123"/>
  <c r="C46" i="123"/>
  <c r="I45" i="123"/>
  <c r="H45" i="123"/>
  <c r="G45" i="123"/>
  <c r="F45" i="123"/>
  <c r="E45" i="123"/>
  <c r="D45" i="123"/>
  <c r="C45" i="123"/>
  <c r="I44" i="123"/>
  <c r="H44" i="123"/>
  <c r="G44" i="123"/>
  <c r="F44" i="123"/>
  <c r="E44" i="123"/>
  <c r="D44" i="123"/>
  <c r="C44" i="123"/>
  <c r="I43" i="123"/>
  <c r="H43" i="123"/>
  <c r="G43" i="123"/>
  <c r="F43" i="123"/>
  <c r="E43" i="123"/>
  <c r="D43" i="123"/>
  <c r="C43" i="123"/>
  <c r="I42" i="123"/>
  <c r="H42" i="123"/>
  <c r="G42" i="123"/>
  <c r="F42" i="123"/>
  <c r="E42" i="123"/>
  <c r="D42" i="123"/>
  <c r="C42" i="123"/>
  <c r="I41" i="123"/>
  <c r="H41" i="123"/>
  <c r="G41" i="123"/>
  <c r="F41" i="123"/>
  <c r="E41" i="123"/>
  <c r="D41" i="123"/>
  <c r="C41" i="123"/>
  <c r="I40" i="123"/>
  <c r="H40" i="123"/>
  <c r="G40" i="123"/>
  <c r="F40" i="123"/>
  <c r="E40" i="123"/>
  <c r="D40" i="123"/>
  <c r="C40" i="123"/>
  <c r="I39" i="123"/>
  <c r="H39" i="123"/>
  <c r="G39" i="123"/>
  <c r="F39" i="123"/>
  <c r="E39" i="123"/>
  <c r="D39" i="123"/>
  <c r="C39" i="123"/>
  <c r="I38" i="123"/>
  <c r="H38" i="123"/>
  <c r="G38" i="123"/>
  <c r="F38" i="123"/>
  <c r="E38" i="123"/>
  <c r="D38" i="123"/>
  <c r="C38" i="123"/>
  <c r="I37" i="123"/>
  <c r="H37" i="123"/>
  <c r="G37" i="123"/>
  <c r="F37" i="123"/>
  <c r="E37" i="123"/>
  <c r="D37" i="123"/>
  <c r="C37" i="123"/>
  <c r="I36" i="123"/>
  <c r="H36" i="123"/>
  <c r="G36" i="123"/>
  <c r="F36" i="123"/>
  <c r="E36" i="123"/>
  <c r="D36" i="123"/>
  <c r="C36" i="123"/>
  <c r="I35" i="123"/>
  <c r="H35" i="123"/>
  <c r="G35" i="123"/>
  <c r="F35" i="123"/>
  <c r="E35" i="123"/>
  <c r="D35" i="123"/>
  <c r="C35" i="123"/>
  <c r="I34" i="123"/>
  <c r="H34" i="123"/>
  <c r="G34" i="123"/>
  <c r="F34" i="123"/>
  <c r="E34" i="123"/>
  <c r="D34" i="123"/>
  <c r="C34" i="123"/>
  <c r="I33" i="123"/>
  <c r="H33" i="123"/>
  <c r="G33" i="123"/>
  <c r="F33" i="123"/>
  <c r="E33" i="123"/>
  <c r="D33" i="123"/>
  <c r="C33" i="123"/>
  <c r="I32" i="123"/>
  <c r="H32" i="123"/>
  <c r="G32" i="123"/>
  <c r="F32" i="123"/>
  <c r="E32" i="123"/>
  <c r="D32" i="123"/>
  <c r="C32" i="123"/>
  <c r="I31" i="123"/>
  <c r="H31" i="123"/>
  <c r="G31" i="123"/>
  <c r="F31" i="123"/>
  <c r="E31" i="123"/>
  <c r="D31" i="123"/>
  <c r="C31" i="123"/>
  <c r="I30" i="123"/>
  <c r="H30" i="123"/>
  <c r="G30" i="123"/>
  <c r="F30" i="123"/>
  <c r="E30" i="123"/>
  <c r="D30" i="123"/>
  <c r="C30" i="123"/>
  <c r="I48" i="122"/>
  <c r="H48" i="122"/>
  <c r="G48" i="122"/>
  <c r="F48" i="122"/>
  <c r="E48" i="122"/>
  <c r="D48" i="122"/>
  <c r="C48" i="122"/>
  <c r="I47" i="122"/>
  <c r="H47" i="122"/>
  <c r="G47" i="122"/>
  <c r="F47" i="122"/>
  <c r="E47" i="122"/>
  <c r="D47" i="122"/>
  <c r="C47" i="122"/>
  <c r="I46" i="122"/>
  <c r="H46" i="122"/>
  <c r="G46" i="122"/>
  <c r="F46" i="122"/>
  <c r="E46" i="122"/>
  <c r="D46" i="122"/>
  <c r="C46" i="122"/>
  <c r="I45" i="122"/>
  <c r="H45" i="122"/>
  <c r="G45" i="122"/>
  <c r="F45" i="122"/>
  <c r="E45" i="122"/>
  <c r="D45" i="122"/>
  <c r="C45" i="122"/>
  <c r="I44" i="122"/>
  <c r="H44" i="122"/>
  <c r="G44" i="122"/>
  <c r="F44" i="122"/>
  <c r="E44" i="122"/>
  <c r="D44" i="122"/>
  <c r="C44" i="122"/>
  <c r="I43" i="122"/>
  <c r="H43" i="122"/>
  <c r="G43" i="122"/>
  <c r="F43" i="122"/>
  <c r="E43" i="122"/>
  <c r="D43" i="122"/>
  <c r="C43" i="122"/>
  <c r="I42" i="122"/>
  <c r="H42" i="122"/>
  <c r="G42" i="122"/>
  <c r="F42" i="122"/>
  <c r="E42" i="122"/>
  <c r="D42" i="122"/>
  <c r="C42" i="122"/>
  <c r="I41" i="122"/>
  <c r="H41" i="122"/>
  <c r="G41" i="122"/>
  <c r="F41" i="122"/>
  <c r="E41" i="122"/>
  <c r="D41" i="122"/>
  <c r="C41" i="122"/>
  <c r="I40" i="122"/>
  <c r="H40" i="122"/>
  <c r="G40" i="122"/>
  <c r="F40" i="122"/>
  <c r="E40" i="122"/>
  <c r="D40" i="122"/>
  <c r="C40" i="122"/>
  <c r="I39" i="122"/>
  <c r="H39" i="122"/>
  <c r="G39" i="122"/>
  <c r="F39" i="122"/>
  <c r="E39" i="122"/>
  <c r="D39" i="122"/>
  <c r="C39" i="122"/>
  <c r="I38" i="122"/>
  <c r="H38" i="122"/>
  <c r="G38" i="122"/>
  <c r="F38" i="122"/>
  <c r="E38" i="122"/>
  <c r="D38" i="122"/>
  <c r="C38" i="122"/>
  <c r="I37" i="122"/>
  <c r="H37" i="122"/>
  <c r="G37" i="122"/>
  <c r="F37" i="122"/>
  <c r="E37" i="122"/>
  <c r="D37" i="122"/>
  <c r="C37" i="122"/>
  <c r="I36" i="122"/>
  <c r="H36" i="122"/>
  <c r="G36" i="122"/>
  <c r="F36" i="122"/>
  <c r="E36" i="122"/>
  <c r="D36" i="122"/>
  <c r="C36" i="122"/>
  <c r="I35" i="122"/>
  <c r="H35" i="122"/>
  <c r="G35" i="122"/>
  <c r="F35" i="122"/>
  <c r="E35" i="122"/>
  <c r="D35" i="122"/>
  <c r="C35" i="122"/>
  <c r="I34" i="122"/>
  <c r="H34" i="122"/>
  <c r="G34" i="122"/>
  <c r="F34" i="122"/>
  <c r="E34" i="122"/>
  <c r="D34" i="122"/>
  <c r="C34" i="122"/>
  <c r="I33" i="122"/>
  <c r="H33" i="122"/>
  <c r="G33" i="122"/>
  <c r="F33" i="122"/>
  <c r="E33" i="122"/>
  <c r="D33" i="122"/>
  <c r="C33" i="122"/>
  <c r="I32" i="122"/>
  <c r="H32" i="122"/>
  <c r="G32" i="122"/>
  <c r="F32" i="122"/>
  <c r="E32" i="122"/>
  <c r="D32" i="122"/>
  <c r="C32" i="122"/>
  <c r="I31" i="122"/>
  <c r="H31" i="122"/>
  <c r="F31" i="122"/>
  <c r="E31" i="122"/>
  <c r="D31" i="122"/>
  <c r="C31" i="122"/>
  <c r="I30" i="122"/>
  <c r="H30" i="122"/>
  <c r="G30" i="122"/>
  <c r="F30" i="122"/>
  <c r="E30" i="122"/>
  <c r="D30" i="122"/>
  <c r="C30" i="122"/>
  <c r="I48" i="121"/>
  <c r="H48" i="121"/>
  <c r="G48" i="121"/>
  <c r="F48" i="121"/>
  <c r="E48" i="121"/>
  <c r="D48" i="121"/>
  <c r="C48" i="121"/>
  <c r="I47" i="121"/>
  <c r="H47" i="121"/>
  <c r="G47" i="121"/>
  <c r="F47" i="121"/>
  <c r="E47" i="121"/>
  <c r="D47" i="121"/>
  <c r="C47" i="121"/>
  <c r="I46" i="121"/>
  <c r="H46" i="121"/>
  <c r="G46" i="121"/>
  <c r="F46" i="121"/>
  <c r="E46" i="121"/>
  <c r="D46" i="121"/>
  <c r="C46" i="121"/>
  <c r="I45" i="121"/>
  <c r="H45" i="121"/>
  <c r="G45" i="121"/>
  <c r="F45" i="121"/>
  <c r="E45" i="121"/>
  <c r="D45" i="121"/>
  <c r="C45" i="121"/>
  <c r="I44" i="121"/>
  <c r="H44" i="121"/>
  <c r="G44" i="121"/>
  <c r="F44" i="121"/>
  <c r="E44" i="121"/>
  <c r="D44" i="121"/>
  <c r="C44" i="121"/>
  <c r="I43" i="121"/>
  <c r="H43" i="121"/>
  <c r="G43" i="121"/>
  <c r="F43" i="121"/>
  <c r="E43" i="121"/>
  <c r="D43" i="121"/>
  <c r="C43" i="121"/>
  <c r="I42" i="121"/>
  <c r="H42" i="121"/>
  <c r="G42" i="121"/>
  <c r="F42" i="121"/>
  <c r="E42" i="121"/>
  <c r="D42" i="121"/>
  <c r="C42" i="121"/>
  <c r="I41" i="121"/>
  <c r="H41" i="121"/>
  <c r="G41" i="121"/>
  <c r="F41" i="121"/>
  <c r="E41" i="121"/>
  <c r="D41" i="121"/>
  <c r="C41" i="121"/>
  <c r="I40" i="121"/>
  <c r="H40" i="121"/>
  <c r="G40" i="121"/>
  <c r="F40" i="121"/>
  <c r="E40" i="121"/>
  <c r="D40" i="121"/>
  <c r="C40" i="121"/>
  <c r="I39" i="121"/>
  <c r="H39" i="121"/>
  <c r="G39" i="121"/>
  <c r="F39" i="121"/>
  <c r="E39" i="121"/>
  <c r="D39" i="121"/>
  <c r="C39" i="121"/>
  <c r="I38" i="121"/>
  <c r="H38" i="121"/>
  <c r="G38" i="121"/>
  <c r="F38" i="121"/>
  <c r="E38" i="121"/>
  <c r="D38" i="121"/>
  <c r="C38" i="121"/>
  <c r="I37" i="121"/>
  <c r="H37" i="121"/>
  <c r="G37" i="121"/>
  <c r="F37" i="121"/>
  <c r="E37" i="121"/>
  <c r="D37" i="121"/>
  <c r="C37" i="121"/>
  <c r="I36" i="121"/>
  <c r="H36" i="121"/>
  <c r="G36" i="121"/>
  <c r="F36" i="121"/>
  <c r="E36" i="121"/>
  <c r="D36" i="121"/>
  <c r="C36" i="121"/>
  <c r="I35" i="121"/>
  <c r="H35" i="121"/>
  <c r="G35" i="121"/>
  <c r="F35" i="121"/>
  <c r="E35" i="121"/>
  <c r="D35" i="121"/>
  <c r="C35" i="121"/>
  <c r="I34" i="121"/>
  <c r="H34" i="121"/>
  <c r="G34" i="121"/>
  <c r="F34" i="121"/>
  <c r="E34" i="121"/>
  <c r="D34" i="121"/>
  <c r="C34" i="121"/>
  <c r="I33" i="121"/>
  <c r="H33" i="121"/>
  <c r="G33" i="121"/>
  <c r="F33" i="121"/>
  <c r="E33" i="121"/>
  <c r="D33" i="121"/>
  <c r="C33" i="121"/>
  <c r="I32" i="121"/>
  <c r="H32" i="121"/>
  <c r="G32" i="121"/>
  <c r="F32" i="121"/>
  <c r="E32" i="121"/>
  <c r="D32" i="121"/>
  <c r="C32" i="121"/>
  <c r="I31" i="121"/>
  <c r="H31" i="121"/>
  <c r="G31" i="121"/>
  <c r="F31" i="121"/>
  <c r="E31" i="121"/>
  <c r="D31" i="121"/>
  <c r="C31" i="121"/>
  <c r="I30" i="121"/>
  <c r="H30" i="121"/>
  <c r="G30" i="121"/>
  <c r="F30" i="121"/>
  <c r="E30" i="121"/>
  <c r="D30" i="121"/>
  <c r="C30" i="121"/>
  <c r="I48" i="120"/>
  <c r="H48" i="120"/>
  <c r="G48" i="120"/>
  <c r="F48" i="120"/>
  <c r="E48" i="120"/>
  <c r="D48" i="120"/>
  <c r="C48" i="120"/>
  <c r="I47" i="120"/>
  <c r="H47" i="120"/>
  <c r="G47" i="120"/>
  <c r="F47" i="120"/>
  <c r="E47" i="120"/>
  <c r="D47" i="120"/>
  <c r="C47" i="120"/>
  <c r="I46" i="120"/>
  <c r="H46" i="120"/>
  <c r="G46" i="120"/>
  <c r="F46" i="120"/>
  <c r="E46" i="120"/>
  <c r="D46" i="120"/>
  <c r="C46" i="120"/>
  <c r="I45" i="120"/>
  <c r="H45" i="120"/>
  <c r="G45" i="120"/>
  <c r="F45" i="120"/>
  <c r="E45" i="120"/>
  <c r="D45" i="120"/>
  <c r="C45" i="120"/>
  <c r="I44" i="120"/>
  <c r="H44" i="120"/>
  <c r="G44" i="120"/>
  <c r="F44" i="120"/>
  <c r="E44" i="120"/>
  <c r="D44" i="120"/>
  <c r="C44" i="120"/>
  <c r="I43" i="120"/>
  <c r="H43" i="120"/>
  <c r="G43" i="120"/>
  <c r="F43" i="120"/>
  <c r="E43" i="120"/>
  <c r="D43" i="120"/>
  <c r="C43" i="120"/>
  <c r="I42" i="120"/>
  <c r="H42" i="120"/>
  <c r="G42" i="120"/>
  <c r="F42" i="120"/>
  <c r="E42" i="120"/>
  <c r="D42" i="120"/>
  <c r="C42" i="120"/>
  <c r="I41" i="120"/>
  <c r="H41" i="120"/>
  <c r="G41" i="120"/>
  <c r="F41" i="120"/>
  <c r="E41" i="120"/>
  <c r="D41" i="120"/>
  <c r="C41" i="120"/>
  <c r="I40" i="120"/>
  <c r="H40" i="120"/>
  <c r="G40" i="120"/>
  <c r="F40" i="120"/>
  <c r="E40" i="120"/>
  <c r="D40" i="120"/>
  <c r="C40" i="120"/>
  <c r="I39" i="120"/>
  <c r="H39" i="120"/>
  <c r="G39" i="120"/>
  <c r="F39" i="120"/>
  <c r="E39" i="120"/>
  <c r="D39" i="120"/>
  <c r="C39" i="120"/>
  <c r="I38" i="120"/>
  <c r="H38" i="120"/>
  <c r="G38" i="120"/>
  <c r="F38" i="120"/>
  <c r="E38" i="120"/>
  <c r="D38" i="120"/>
  <c r="C38" i="120"/>
  <c r="I37" i="120"/>
  <c r="H37" i="120"/>
  <c r="G37" i="120"/>
  <c r="F37" i="120"/>
  <c r="E37" i="120"/>
  <c r="D37" i="120"/>
  <c r="C37" i="120"/>
  <c r="I36" i="120"/>
  <c r="H36" i="120"/>
  <c r="G36" i="120"/>
  <c r="F36" i="120"/>
  <c r="E36" i="120"/>
  <c r="D36" i="120"/>
  <c r="C36" i="120"/>
  <c r="I35" i="120"/>
  <c r="H35" i="120"/>
  <c r="G35" i="120"/>
  <c r="F35" i="120"/>
  <c r="E35" i="120"/>
  <c r="D35" i="120"/>
  <c r="C35" i="120"/>
  <c r="I34" i="120"/>
  <c r="G34" i="120"/>
  <c r="F34" i="120"/>
  <c r="E34" i="120"/>
  <c r="D34" i="120"/>
  <c r="C34" i="120"/>
  <c r="I33" i="120"/>
  <c r="H33" i="120"/>
  <c r="G33" i="120"/>
  <c r="F33" i="120"/>
  <c r="E33" i="120"/>
  <c r="D33" i="120"/>
  <c r="C33" i="120"/>
  <c r="I32" i="120"/>
  <c r="H32" i="120"/>
  <c r="G32" i="120"/>
  <c r="F32" i="120"/>
  <c r="E32" i="120"/>
  <c r="D32" i="120"/>
  <c r="C32" i="120"/>
  <c r="I31" i="120"/>
  <c r="H31" i="120"/>
  <c r="G31" i="120"/>
  <c r="F31" i="120"/>
  <c r="E31" i="120"/>
  <c r="D31" i="120"/>
  <c r="C31" i="120"/>
  <c r="I30" i="120"/>
  <c r="H30" i="120"/>
  <c r="G30" i="120"/>
  <c r="F30" i="120"/>
  <c r="E30" i="120"/>
  <c r="D30" i="120"/>
  <c r="C30" i="120"/>
  <c r="I48" i="119"/>
  <c r="H48" i="119"/>
  <c r="G48" i="119"/>
  <c r="F48" i="119"/>
  <c r="E48" i="119"/>
  <c r="D48" i="119"/>
  <c r="C48" i="119"/>
  <c r="I47" i="119"/>
  <c r="H47" i="119"/>
  <c r="G47" i="119"/>
  <c r="F47" i="119"/>
  <c r="E47" i="119"/>
  <c r="D47" i="119"/>
  <c r="C47" i="119"/>
  <c r="I46" i="119"/>
  <c r="H46" i="119"/>
  <c r="G46" i="119"/>
  <c r="F46" i="119"/>
  <c r="E46" i="119"/>
  <c r="D46" i="119"/>
  <c r="C46" i="119"/>
  <c r="I45" i="119"/>
  <c r="H45" i="119"/>
  <c r="G45" i="119"/>
  <c r="F45" i="119"/>
  <c r="E45" i="119"/>
  <c r="D45" i="119"/>
  <c r="C45" i="119"/>
  <c r="I44" i="119"/>
  <c r="H44" i="119"/>
  <c r="G44" i="119"/>
  <c r="F44" i="119"/>
  <c r="E44" i="119"/>
  <c r="D44" i="119"/>
  <c r="C44" i="119"/>
  <c r="I43" i="119"/>
  <c r="H43" i="119"/>
  <c r="G43" i="119"/>
  <c r="F43" i="119"/>
  <c r="E43" i="119"/>
  <c r="D43" i="119"/>
  <c r="C43" i="119"/>
  <c r="I42" i="119"/>
  <c r="H42" i="119"/>
  <c r="G42" i="119"/>
  <c r="F42" i="119"/>
  <c r="E42" i="119"/>
  <c r="D42" i="119"/>
  <c r="C42" i="119"/>
  <c r="I41" i="119"/>
  <c r="H41" i="119"/>
  <c r="G41" i="119"/>
  <c r="F41" i="119"/>
  <c r="E41" i="119"/>
  <c r="D41" i="119"/>
  <c r="C41" i="119"/>
  <c r="I40" i="119"/>
  <c r="H40" i="119"/>
  <c r="G40" i="119"/>
  <c r="F40" i="119"/>
  <c r="E40" i="119"/>
  <c r="D40" i="119"/>
  <c r="C40" i="119"/>
  <c r="I39" i="119"/>
  <c r="H39" i="119"/>
  <c r="G39" i="119"/>
  <c r="F39" i="119"/>
  <c r="E39" i="119"/>
  <c r="D39" i="119"/>
  <c r="C39" i="119"/>
  <c r="I38" i="119"/>
  <c r="H38" i="119"/>
  <c r="G38" i="119"/>
  <c r="F38" i="119"/>
  <c r="E38" i="119"/>
  <c r="D38" i="119"/>
  <c r="C38" i="119"/>
  <c r="I37" i="119"/>
  <c r="H37" i="119"/>
  <c r="G37" i="119"/>
  <c r="F37" i="119"/>
  <c r="E37" i="119"/>
  <c r="D37" i="119"/>
  <c r="C37" i="119"/>
  <c r="I36" i="119"/>
  <c r="H36" i="119"/>
  <c r="G36" i="119"/>
  <c r="F36" i="119"/>
  <c r="E36" i="119"/>
  <c r="D36" i="119"/>
  <c r="C36" i="119"/>
  <c r="I35" i="119"/>
  <c r="H35" i="119"/>
  <c r="G35" i="119"/>
  <c r="F35" i="119"/>
  <c r="E35" i="119"/>
  <c r="D35" i="119"/>
  <c r="C35" i="119"/>
  <c r="I34" i="119"/>
  <c r="H34" i="119"/>
  <c r="G34" i="119"/>
  <c r="F34" i="119"/>
  <c r="E34" i="119"/>
  <c r="D34" i="119"/>
  <c r="C34" i="119"/>
  <c r="I33" i="119"/>
  <c r="H33" i="119"/>
  <c r="G33" i="119"/>
  <c r="F33" i="119"/>
  <c r="E33" i="119"/>
  <c r="D33" i="119"/>
  <c r="C33" i="119"/>
  <c r="I32" i="119"/>
  <c r="H32" i="119"/>
  <c r="G32" i="119"/>
  <c r="F32" i="119"/>
  <c r="E32" i="119"/>
  <c r="D32" i="119"/>
  <c r="C32" i="119"/>
  <c r="I31" i="119"/>
  <c r="H31" i="119"/>
  <c r="G31" i="119"/>
  <c r="F31" i="119"/>
  <c r="E31" i="119"/>
  <c r="D31" i="119"/>
  <c r="C31" i="119"/>
  <c r="I30" i="119"/>
  <c r="H30" i="119"/>
  <c r="G30" i="119"/>
  <c r="F30" i="119"/>
  <c r="E30" i="119"/>
  <c r="D30" i="119"/>
  <c r="C30" i="119"/>
  <c r="I48" i="118"/>
  <c r="H48" i="118"/>
  <c r="G48" i="118"/>
  <c r="F48" i="118"/>
  <c r="E48" i="118"/>
  <c r="D48" i="118"/>
  <c r="C48" i="118"/>
  <c r="I47" i="118"/>
  <c r="H47" i="118"/>
  <c r="G47" i="118"/>
  <c r="F47" i="118"/>
  <c r="E47" i="118"/>
  <c r="D47" i="118"/>
  <c r="C47" i="118"/>
  <c r="I46" i="118"/>
  <c r="H46" i="118"/>
  <c r="G46" i="118"/>
  <c r="F46" i="118"/>
  <c r="E46" i="118"/>
  <c r="D46" i="118"/>
  <c r="C46" i="118"/>
  <c r="I45" i="118"/>
  <c r="H45" i="118"/>
  <c r="G45" i="118"/>
  <c r="F45" i="118"/>
  <c r="E45" i="118"/>
  <c r="D45" i="118"/>
  <c r="C45" i="118"/>
  <c r="I44" i="118"/>
  <c r="H44" i="118"/>
  <c r="G44" i="118"/>
  <c r="F44" i="118"/>
  <c r="E44" i="118"/>
  <c r="D44" i="118"/>
  <c r="C44" i="118"/>
  <c r="I43" i="118"/>
  <c r="H43" i="118"/>
  <c r="G43" i="118"/>
  <c r="F43" i="118"/>
  <c r="E43" i="118"/>
  <c r="D43" i="118"/>
  <c r="C43" i="118"/>
  <c r="I42" i="118"/>
  <c r="H42" i="118"/>
  <c r="G42" i="118"/>
  <c r="F42" i="118"/>
  <c r="E42" i="118"/>
  <c r="D42" i="118"/>
  <c r="C42" i="118"/>
  <c r="I41" i="118"/>
  <c r="H41" i="118"/>
  <c r="G41" i="118"/>
  <c r="F41" i="118"/>
  <c r="E41" i="118"/>
  <c r="D41" i="118"/>
  <c r="C41" i="118"/>
  <c r="I40" i="118"/>
  <c r="H40" i="118"/>
  <c r="G40" i="118"/>
  <c r="F40" i="118"/>
  <c r="E40" i="118"/>
  <c r="D40" i="118"/>
  <c r="C40" i="118"/>
  <c r="I39" i="118"/>
  <c r="H39" i="118"/>
  <c r="G39" i="118"/>
  <c r="F39" i="118"/>
  <c r="E39" i="118"/>
  <c r="D39" i="118"/>
  <c r="C39" i="118"/>
  <c r="I38" i="118"/>
  <c r="H38" i="118"/>
  <c r="G38" i="118"/>
  <c r="F38" i="118"/>
  <c r="E38" i="118"/>
  <c r="D38" i="118"/>
  <c r="C38" i="118"/>
  <c r="I37" i="118"/>
  <c r="H37" i="118"/>
  <c r="G37" i="118"/>
  <c r="F37" i="118"/>
  <c r="E37" i="118"/>
  <c r="D37" i="118"/>
  <c r="C37" i="118"/>
  <c r="I36" i="118"/>
  <c r="H36" i="118"/>
  <c r="G36" i="118"/>
  <c r="F36" i="118"/>
  <c r="E36" i="118"/>
  <c r="D36" i="118"/>
  <c r="C36" i="118"/>
  <c r="I35" i="118"/>
  <c r="H35" i="118"/>
  <c r="G35" i="118"/>
  <c r="F35" i="118"/>
  <c r="E35" i="118"/>
  <c r="D35" i="118"/>
  <c r="C35" i="118"/>
  <c r="I34" i="118"/>
  <c r="H34" i="118"/>
  <c r="G34" i="118"/>
  <c r="F34" i="118"/>
  <c r="E34" i="118"/>
  <c r="D34" i="118"/>
  <c r="C34" i="118"/>
  <c r="I33" i="118"/>
  <c r="H33" i="118"/>
  <c r="G33" i="118"/>
  <c r="F33" i="118"/>
  <c r="E33" i="118"/>
  <c r="D33" i="118"/>
  <c r="C33" i="118"/>
  <c r="I32" i="118"/>
  <c r="H32" i="118"/>
  <c r="G32" i="118"/>
  <c r="F32" i="118"/>
  <c r="E32" i="118"/>
  <c r="D32" i="118"/>
  <c r="C32" i="118"/>
  <c r="I31" i="118"/>
  <c r="H31" i="118"/>
  <c r="G31" i="118"/>
  <c r="F31" i="118"/>
  <c r="E31" i="118"/>
  <c r="D31" i="118"/>
  <c r="C31" i="118"/>
  <c r="I30" i="118"/>
  <c r="H30" i="118"/>
  <c r="G30" i="118"/>
  <c r="F30" i="118"/>
  <c r="E30" i="118"/>
  <c r="D30" i="118"/>
  <c r="C30" i="118"/>
  <c r="I48" i="117"/>
  <c r="H48" i="117"/>
  <c r="G48" i="117"/>
  <c r="F48" i="117"/>
  <c r="E48" i="117"/>
  <c r="D48" i="117"/>
  <c r="C48" i="117"/>
  <c r="I47" i="117"/>
  <c r="H47" i="117"/>
  <c r="G47" i="117"/>
  <c r="F47" i="117"/>
  <c r="E47" i="117"/>
  <c r="D47" i="117"/>
  <c r="C47" i="117"/>
  <c r="I46" i="117"/>
  <c r="H46" i="117"/>
  <c r="G46" i="117"/>
  <c r="F46" i="117"/>
  <c r="E46" i="117"/>
  <c r="D46" i="117"/>
  <c r="C46" i="117"/>
  <c r="I45" i="117"/>
  <c r="H45" i="117"/>
  <c r="G45" i="117"/>
  <c r="F45" i="117"/>
  <c r="E45" i="117"/>
  <c r="D45" i="117"/>
  <c r="C45" i="117"/>
  <c r="I44" i="117"/>
  <c r="H44" i="117"/>
  <c r="G44" i="117"/>
  <c r="F44" i="117"/>
  <c r="E44" i="117"/>
  <c r="D44" i="117"/>
  <c r="C44" i="117"/>
  <c r="I43" i="117"/>
  <c r="H43" i="117"/>
  <c r="G43" i="117"/>
  <c r="F43" i="117"/>
  <c r="E43" i="117"/>
  <c r="D43" i="117"/>
  <c r="C43" i="117"/>
  <c r="I42" i="117"/>
  <c r="H42" i="117"/>
  <c r="G42" i="117"/>
  <c r="F42" i="117"/>
  <c r="E42" i="117"/>
  <c r="D42" i="117"/>
  <c r="C42" i="117"/>
  <c r="I41" i="117"/>
  <c r="H41" i="117"/>
  <c r="G41" i="117"/>
  <c r="F41" i="117"/>
  <c r="E41" i="117"/>
  <c r="D41" i="117"/>
  <c r="C41" i="117"/>
  <c r="I40" i="117"/>
  <c r="H40" i="117"/>
  <c r="G40" i="117"/>
  <c r="F40" i="117"/>
  <c r="E40" i="117"/>
  <c r="D40" i="117"/>
  <c r="C40" i="117"/>
  <c r="I39" i="117"/>
  <c r="H39" i="117"/>
  <c r="G39" i="117"/>
  <c r="F39" i="117"/>
  <c r="E39" i="117"/>
  <c r="D39" i="117"/>
  <c r="C39" i="117"/>
  <c r="I38" i="117"/>
  <c r="H38" i="117"/>
  <c r="G38" i="117"/>
  <c r="F38" i="117"/>
  <c r="E38" i="117"/>
  <c r="D38" i="117"/>
  <c r="C38" i="117"/>
  <c r="I37" i="117"/>
  <c r="H37" i="117"/>
  <c r="G37" i="117"/>
  <c r="F37" i="117"/>
  <c r="E37" i="117"/>
  <c r="D37" i="117"/>
  <c r="C37" i="117"/>
  <c r="I36" i="117"/>
  <c r="H36" i="117"/>
  <c r="G36" i="117"/>
  <c r="F36" i="117"/>
  <c r="E36" i="117"/>
  <c r="D36" i="117"/>
  <c r="C36" i="117"/>
  <c r="I35" i="117"/>
  <c r="H35" i="117"/>
  <c r="G35" i="117"/>
  <c r="F35" i="117"/>
  <c r="E35" i="117"/>
  <c r="D35" i="117"/>
  <c r="C35" i="117"/>
  <c r="I34" i="117"/>
  <c r="H34" i="117"/>
  <c r="G34" i="117"/>
  <c r="F34" i="117"/>
  <c r="E34" i="117"/>
  <c r="D34" i="117"/>
  <c r="C34" i="117"/>
  <c r="I33" i="117"/>
  <c r="H33" i="117"/>
  <c r="G33" i="117"/>
  <c r="F33" i="117"/>
  <c r="E33" i="117"/>
  <c r="D33" i="117"/>
  <c r="C33" i="117"/>
  <c r="I32" i="117"/>
  <c r="H32" i="117"/>
  <c r="G32" i="117"/>
  <c r="F32" i="117"/>
  <c r="E32" i="117"/>
  <c r="D32" i="117"/>
  <c r="C32" i="117"/>
  <c r="I31" i="117"/>
  <c r="H31" i="117"/>
  <c r="G31" i="117"/>
  <c r="F31" i="117"/>
  <c r="E31" i="117"/>
  <c r="D31" i="117"/>
  <c r="C31" i="117"/>
  <c r="I30" i="117"/>
  <c r="H30" i="117"/>
  <c r="G30" i="117"/>
  <c r="F30" i="117"/>
  <c r="E30" i="117"/>
  <c r="D30" i="117"/>
  <c r="C30" i="117"/>
  <c r="I48" i="116"/>
  <c r="H48" i="116"/>
  <c r="G48" i="116"/>
  <c r="F48" i="116"/>
  <c r="E48" i="116"/>
  <c r="D48" i="116"/>
  <c r="C48" i="116"/>
  <c r="I47" i="116"/>
  <c r="H47" i="116"/>
  <c r="G47" i="116"/>
  <c r="F47" i="116"/>
  <c r="E47" i="116"/>
  <c r="D47" i="116"/>
  <c r="C47" i="116"/>
  <c r="I46" i="116"/>
  <c r="H46" i="116"/>
  <c r="G46" i="116"/>
  <c r="F46" i="116"/>
  <c r="E46" i="116"/>
  <c r="D46" i="116"/>
  <c r="C46" i="116"/>
  <c r="I45" i="116"/>
  <c r="H45" i="116"/>
  <c r="G45" i="116"/>
  <c r="F45" i="116"/>
  <c r="E45" i="116"/>
  <c r="D45" i="116"/>
  <c r="C45" i="116"/>
  <c r="I44" i="116"/>
  <c r="H44" i="116"/>
  <c r="G44" i="116"/>
  <c r="F44" i="116"/>
  <c r="E44" i="116"/>
  <c r="D44" i="116"/>
  <c r="C44" i="116"/>
  <c r="I43" i="116"/>
  <c r="H43" i="116"/>
  <c r="G43" i="116"/>
  <c r="F43" i="116"/>
  <c r="E43" i="116"/>
  <c r="D43" i="116"/>
  <c r="C43" i="116"/>
  <c r="I42" i="116"/>
  <c r="H42" i="116"/>
  <c r="G42" i="116"/>
  <c r="F42" i="116"/>
  <c r="E42" i="116"/>
  <c r="D42" i="116"/>
  <c r="C42" i="116"/>
  <c r="I41" i="116"/>
  <c r="H41" i="116"/>
  <c r="G41" i="116"/>
  <c r="F41" i="116"/>
  <c r="E41" i="116"/>
  <c r="D41" i="116"/>
  <c r="C41" i="116"/>
  <c r="I40" i="116"/>
  <c r="H40" i="116"/>
  <c r="G40" i="116"/>
  <c r="F40" i="116"/>
  <c r="E40" i="116"/>
  <c r="D40" i="116"/>
  <c r="C40" i="116"/>
  <c r="I39" i="116"/>
  <c r="H39" i="116"/>
  <c r="G39" i="116"/>
  <c r="F39" i="116"/>
  <c r="E39" i="116"/>
  <c r="D39" i="116"/>
  <c r="C39" i="116"/>
  <c r="I38" i="116"/>
  <c r="H38" i="116"/>
  <c r="G38" i="116"/>
  <c r="F38" i="116"/>
  <c r="E38" i="116"/>
  <c r="D38" i="116"/>
  <c r="C38" i="116"/>
  <c r="I37" i="116"/>
  <c r="H37" i="116"/>
  <c r="G37" i="116"/>
  <c r="F37" i="116"/>
  <c r="E37" i="116"/>
  <c r="D37" i="116"/>
  <c r="C37" i="116"/>
  <c r="I36" i="116"/>
  <c r="H36" i="116"/>
  <c r="G36" i="116"/>
  <c r="F36" i="116"/>
  <c r="E36" i="116"/>
  <c r="D36" i="116"/>
  <c r="C36" i="116"/>
  <c r="I35" i="116"/>
  <c r="H35" i="116"/>
  <c r="G35" i="116"/>
  <c r="F35" i="116"/>
  <c r="E35" i="116"/>
  <c r="D35" i="116"/>
  <c r="C35" i="116"/>
  <c r="I34" i="116"/>
  <c r="H34" i="116"/>
  <c r="G34" i="116"/>
  <c r="F34" i="116"/>
  <c r="E34" i="116"/>
  <c r="D34" i="116"/>
  <c r="C34" i="116"/>
  <c r="I33" i="116"/>
  <c r="H33" i="116"/>
  <c r="G33" i="116"/>
  <c r="F33" i="116"/>
  <c r="E33" i="116"/>
  <c r="D33" i="116"/>
  <c r="C33" i="116"/>
  <c r="I32" i="116"/>
  <c r="H32" i="116"/>
  <c r="G32" i="116"/>
  <c r="F32" i="116"/>
  <c r="E32" i="116"/>
  <c r="D32" i="116"/>
  <c r="C32" i="116"/>
  <c r="I31" i="116"/>
  <c r="H31" i="116"/>
  <c r="G31" i="116"/>
  <c r="F31" i="116"/>
  <c r="E31" i="116"/>
  <c r="D31" i="116"/>
  <c r="C31" i="116"/>
  <c r="I30" i="116"/>
  <c r="H30" i="116"/>
  <c r="G30" i="116"/>
  <c r="F30" i="116"/>
  <c r="E30" i="116"/>
  <c r="D30" i="116"/>
  <c r="C30" i="116"/>
  <c r="I48" i="29"/>
  <c r="H48" i="29"/>
  <c r="G48" i="29"/>
  <c r="F48" i="29"/>
  <c r="E48" i="29"/>
  <c r="D48" i="29"/>
  <c r="C48" i="29"/>
  <c r="I47" i="29"/>
  <c r="H47" i="29"/>
  <c r="G47" i="29"/>
  <c r="F47" i="29"/>
  <c r="E47" i="29"/>
  <c r="D47" i="29"/>
  <c r="C47" i="29"/>
  <c r="I46" i="29"/>
  <c r="H46" i="29"/>
  <c r="G46" i="29"/>
  <c r="F46" i="29"/>
  <c r="E46" i="29"/>
  <c r="D46" i="29"/>
  <c r="C46" i="29"/>
  <c r="I45" i="29"/>
  <c r="H45" i="29"/>
  <c r="G45" i="29"/>
  <c r="F45" i="29"/>
  <c r="E45" i="29"/>
  <c r="D45" i="29"/>
  <c r="C45" i="29"/>
  <c r="I44" i="29"/>
  <c r="H44" i="29"/>
  <c r="G44" i="29"/>
  <c r="F44" i="29"/>
  <c r="E44" i="29"/>
  <c r="D44" i="29"/>
  <c r="C44" i="29"/>
  <c r="I43" i="29"/>
  <c r="H43" i="29"/>
  <c r="G43" i="29"/>
  <c r="F43" i="29"/>
  <c r="E43" i="29"/>
  <c r="D43" i="29"/>
  <c r="C43" i="29"/>
  <c r="I42" i="29"/>
  <c r="H42" i="29"/>
  <c r="G42" i="29"/>
  <c r="F42" i="29"/>
  <c r="E42" i="29"/>
  <c r="D42" i="29"/>
  <c r="C42" i="29"/>
  <c r="I41" i="29"/>
  <c r="H41" i="29"/>
  <c r="G41" i="29"/>
  <c r="F41" i="29"/>
  <c r="E41" i="29"/>
  <c r="D41" i="29"/>
  <c r="C41" i="29"/>
  <c r="I40" i="29"/>
  <c r="H40" i="29"/>
  <c r="G40" i="29"/>
  <c r="F40" i="29"/>
  <c r="E40" i="29"/>
  <c r="D40" i="29"/>
  <c r="C40" i="29"/>
  <c r="I39" i="29"/>
  <c r="H39" i="29"/>
  <c r="G39" i="29"/>
  <c r="F39" i="29"/>
  <c r="E39" i="29"/>
  <c r="D39" i="29"/>
  <c r="C39" i="29"/>
  <c r="I38" i="29"/>
  <c r="H38" i="29"/>
  <c r="G38" i="29"/>
  <c r="F38" i="29"/>
  <c r="E38" i="29"/>
  <c r="D38" i="29"/>
  <c r="C38" i="29"/>
  <c r="I37" i="29"/>
  <c r="H37" i="29"/>
  <c r="G37" i="29"/>
  <c r="F37" i="29"/>
  <c r="E37" i="29"/>
  <c r="D37" i="29"/>
  <c r="C37" i="29"/>
  <c r="I36" i="29"/>
  <c r="H36" i="29"/>
  <c r="G36" i="29"/>
  <c r="F36" i="29"/>
  <c r="E36" i="29"/>
  <c r="D36" i="29"/>
  <c r="C36" i="29"/>
  <c r="I35" i="29"/>
  <c r="H35" i="29"/>
  <c r="G35" i="29"/>
  <c r="F35" i="29"/>
  <c r="E35" i="29"/>
  <c r="D35" i="29"/>
  <c r="C35" i="29"/>
  <c r="I34" i="29"/>
  <c r="H34" i="29"/>
  <c r="G34" i="29"/>
  <c r="F34" i="29"/>
  <c r="E34" i="29"/>
  <c r="D34" i="29"/>
  <c r="C34" i="29"/>
  <c r="I33" i="29"/>
  <c r="H33" i="29"/>
  <c r="G33" i="29"/>
  <c r="F33" i="29"/>
  <c r="E33" i="29"/>
  <c r="D33" i="29"/>
  <c r="C33" i="29"/>
  <c r="I32" i="29"/>
  <c r="H32" i="29"/>
  <c r="G32" i="29"/>
  <c r="F32" i="29"/>
  <c r="E32" i="29"/>
  <c r="D32" i="29"/>
  <c r="C32" i="29"/>
  <c r="I31" i="29"/>
  <c r="H31" i="29"/>
  <c r="G31" i="29"/>
  <c r="F31" i="29"/>
  <c r="E31" i="29"/>
  <c r="D31" i="29"/>
  <c r="C31" i="29"/>
  <c r="I30" i="29"/>
  <c r="H30" i="29"/>
  <c r="G30" i="29"/>
  <c r="F30" i="29"/>
  <c r="E30" i="29"/>
  <c r="D30" i="29"/>
  <c r="C30" i="29"/>
  <c r="I71" i="29"/>
  <c r="H71" i="29"/>
  <c r="G71" i="29"/>
  <c r="F71" i="29"/>
  <c r="E71" i="29"/>
  <c r="I70" i="29"/>
  <c r="H70" i="29"/>
  <c r="G70" i="29"/>
  <c r="F70" i="29"/>
  <c r="E70" i="29"/>
  <c r="I69" i="29"/>
  <c r="H69" i="29"/>
  <c r="G69" i="29"/>
  <c r="F69" i="29"/>
  <c r="E69" i="29"/>
  <c r="I68" i="29"/>
  <c r="H68" i="29"/>
  <c r="G68" i="29"/>
  <c r="F68" i="29"/>
  <c r="E68" i="29"/>
  <c r="I67" i="29"/>
  <c r="H67" i="29"/>
  <c r="G67" i="29"/>
  <c r="F67" i="29"/>
  <c r="E67" i="29"/>
  <c r="I66" i="29"/>
  <c r="H66" i="29"/>
  <c r="G66" i="29"/>
  <c r="F66" i="29"/>
  <c r="E66" i="29"/>
  <c r="I65" i="29"/>
  <c r="H65" i="29"/>
  <c r="G65" i="29"/>
  <c r="F65" i="29"/>
  <c r="E65" i="29"/>
  <c r="I64" i="29"/>
  <c r="H64" i="29"/>
  <c r="G64" i="29"/>
  <c r="F64" i="29"/>
  <c r="E64" i="29"/>
  <c r="I63" i="29"/>
  <c r="H63" i="29"/>
  <c r="G63" i="29"/>
  <c r="F63" i="29"/>
  <c r="E63" i="29"/>
  <c r="I62" i="29"/>
  <c r="H62" i="29"/>
  <c r="G62" i="29"/>
  <c r="F62" i="29"/>
  <c r="E62" i="29"/>
  <c r="I61" i="29"/>
  <c r="H61" i="29"/>
  <c r="G61" i="29"/>
  <c r="F61" i="29"/>
  <c r="E61" i="29"/>
  <c r="I60" i="29"/>
  <c r="H60" i="29"/>
  <c r="G60" i="29"/>
  <c r="F60" i="29"/>
  <c r="E60" i="29"/>
  <c r="I59" i="29"/>
  <c r="H59" i="29"/>
  <c r="G59" i="29"/>
  <c r="F59" i="29"/>
  <c r="E59" i="29"/>
  <c r="I58" i="29"/>
  <c r="H58" i="29"/>
  <c r="G58" i="29"/>
  <c r="F58" i="29"/>
  <c r="E58" i="29"/>
  <c r="I57" i="29"/>
  <c r="H57" i="29"/>
  <c r="G57" i="29"/>
  <c r="F57" i="29"/>
  <c r="E57" i="29"/>
  <c r="I56" i="29"/>
  <c r="H56" i="29"/>
  <c r="G56" i="29"/>
  <c r="F56" i="29"/>
  <c r="E56" i="29"/>
  <c r="I55" i="29"/>
  <c r="H55" i="29"/>
  <c r="G55" i="29"/>
  <c r="F55" i="29"/>
  <c r="E55" i="29"/>
  <c r="I54" i="29"/>
  <c r="H54" i="29"/>
  <c r="G54" i="29"/>
  <c r="E54" i="29"/>
  <c r="I53" i="29"/>
  <c r="H53" i="29"/>
  <c r="G53" i="29"/>
  <c r="F53" i="29"/>
  <c r="E53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H22" i="56"/>
  <c r="H23" i="56"/>
  <c r="H24" i="56"/>
  <c r="H25" i="56"/>
  <c r="H26" i="56"/>
  <c r="H27" i="56"/>
  <c r="H28" i="56"/>
  <c r="H29" i="56"/>
  <c r="H30" i="56"/>
  <c r="H31" i="56"/>
  <c r="G22" i="56"/>
  <c r="G23" i="56"/>
  <c r="G24" i="56"/>
  <c r="G25" i="56"/>
  <c r="G26" i="56"/>
  <c r="G27" i="56"/>
  <c r="G28" i="56"/>
  <c r="G29" i="56"/>
  <c r="G30" i="56"/>
  <c r="G31" i="56"/>
  <c r="F22" i="56"/>
  <c r="F23" i="56"/>
  <c r="F24" i="56"/>
  <c r="F25" i="56"/>
  <c r="F26" i="56"/>
  <c r="F27" i="56"/>
  <c r="F28" i="56"/>
  <c r="F29" i="56"/>
  <c r="F30" i="56"/>
  <c r="F31" i="56"/>
  <c r="E22" i="56"/>
  <c r="E23" i="56"/>
  <c r="E24" i="56"/>
  <c r="E25" i="56"/>
  <c r="E26" i="56"/>
  <c r="E27" i="56"/>
  <c r="E28" i="56"/>
  <c r="E29" i="56"/>
  <c r="E30" i="56"/>
  <c r="E31" i="56"/>
  <c r="D22" i="56"/>
  <c r="D23" i="56"/>
  <c r="D24" i="56"/>
  <c r="D25" i="56"/>
  <c r="D26" i="56"/>
  <c r="D27" i="56"/>
  <c r="D28" i="56"/>
  <c r="D29" i="56"/>
  <c r="D30" i="56"/>
  <c r="D31" i="56"/>
  <c r="C22" i="56"/>
  <c r="C23" i="56"/>
  <c r="C24" i="56"/>
  <c r="C25" i="56"/>
  <c r="C26" i="56"/>
  <c r="C27" i="56"/>
  <c r="C28" i="56"/>
  <c r="C29" i="56"/>
  <c r="C30" i="56"/>
  <c r="C31" i="56"/>
  <c r="B22" i="56"/>
  <c r="B23" i="56"/>
  <c r="B24" i="56"/>
  <c r="B25" i="56"/>
  <c r="B26" i="56"/>
  <c r="B27" i="56"/>
  <c r="B28" i="56"/>
  <c r="B29" i="56"/>
  <c r="B30" i="56"/>
  <c r="B31" i="56"/>
  <c r="F32" i="56"/>
  <c r="G32" i="56"/>
  <c r="C32" i="56"/>
  <c r="D32" i="56"/>
  <c r="B32" i="56"/>
  <c r="E32" i="56"/>
  <c r="H32" i="56"/>
</calcChain>
</file>

<file path=xl/sharedStrings.xml><?xml version="1.0" encoding="utf-8"?>
<sst xmlns="http://schemas.openxmlformats.org/spreadsheetml/2006/main" count="10914" uniqueCount="354">
  <si>
    <t>A</t>
  </si>
  <si>
    <t>B</t>
  </si>
  <si>
    <t>C</t>
  </si>
  <si>
    <t>Industrias manufactureras</t>
  </si>
  <si>
    <t>F</t>
  </si>
  <si>
    <t>G</t>
  </si>
  <si>
    <t>H</t>
  </si>
  <si>
    <t>I</t>
  </si>
  <si>
    <t>J</t>
  </si>
  <si>
    <t>K</t>
  </si>
  <si>
    <t>P</t>
  </si>
  <si>
    <t>Provincia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</si>
  <si>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</si>
  <si>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</si>
  <si>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</si>
  <si>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</si>
  <si>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</si>
  <si>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</si>
  <si>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</si>
  <si>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</si>
  <si>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</si>
  <si>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</si>
  <si>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 xml:space="preserve">PRODUCTO INTERNO BRUTO  A PRECIOS DE COMPRADOR                           </t>
  </si>
  <si>
    <t>(E) Cifras estimadas.</t>
  </si>
  <si>
    <t>Panamá Oeste</t>
  </si>
  <si>
    <t>..</t>
  </si>
  <si>
    <t>PRODUCTO INTERNO BRUTO  A PRECIOS DE COMPRADOR</t>
  </si>
  <si>
    <t>Colón  (2)</t>
  </si>
  <si>
    <t xml:space="preserve">Panamá </t>
  </si>
  <si>
    <t>Categoría de actividad económica</t>
  </si>
  <si>
    <t>Descripción</t>
  </si>
  <si>
    <t>Explotación de minas y canteras</t>
  </si>
  <si>
    <t>Hoteles y restaurantes</t>
  </si>
  <si>
    <t xml:space="preserve">            Valor Agregado Bruto en valores básicos</t>
  </si>
  <si>
    <t>Más: Impuestos a los productos netos de las subvenciones</t>
  </si>
  <si>
    <t>PRODUCTO INTERNO BRUTO A PRECIOS DE COMPRADOR</t>
  </si>
  <si>
    <t>(2) Incluye producción de no mercado.</t>
  </si>
  <si>
    <t xml:space="preserve"> ..  Dato no aplicable al grupo o categoría.</t>
  </si>
  <si>
    <t>REPÚBLICA DE PANAMÁ</t>
  </si>
  <si>
    <t xml:space="preserve">CONTRALORÍA GENERAL DE LA REPÚBLICA </t>
  </si>
  <si>
    <t>Instituto Nacional de Estadística y Censo</t>
  </si>
  <si>
    <t>CIFRAS ESTIMADAS DEL PRODUCTO INTERNO BRUTO PROVINCIAL</t>
  </si>
  <si>
    <t>Índice</t>
  </si>
  <si>
    <t xml:space="preserve">  Cuadros</t>
  </si>
  <si>
    <t>A PRECIOS CONSTANTES</t>
  </si>
  <si>
    <t xml:space="preserve">Chiriquí </t>
  </si>
  <si>
    <t>Composición porcentual del PIB Provincial, según categoría de actividad económica:</t>
  </si>
  <si>
    <t>Por provincia, según categoría de actividad económica:  año 2018</t>
  </si>
  <si>
    <t>Composición porcentual del Producto Interno Bruto</t>
  </si>
  <si>
    <t>Total</t>
  </si>
  <si>
    <t>Por provincia, según categoría de actividad económica:  año 2019</t>
  </si>
  <si>
    <t>Otra producción no de mercado (1)</t>
  </si>
  <si>
    <t>Por provincia, según categoría de actividad económica:  año 2020</t>
  </si>
  <si>
    <t>Agricultura, ganadería, caza, silvicultura, pesca y actividades de servicios conexas</t>
  </si>
  <si>
    <t>Comercio al por mayor y al por menor (incluye zonas francas), reparación de vehículos de motor y motocicletas</t>
  </si>
  <si>
    <t>Transporte, almacenamiento y correo</t>
  </si>
  <si>
    <t>Información y comunicación</t>
  </si>
  <si>
    <t>Actividades financieras y de seguros</t>
  </si>
  <si>
    <t>Enseñanza</t>
  </si>
  <si>
    <t>Q</t>
  </si>
  <si>
    <t>Servicios sociales y relacionados con la salud humana</t>
  </si>
  <si>
    <t>T</t>
  </si>
  <si>
    <t>Actividades de los hogares en calidad de empleadores</t>
  </si>
  <si>
    <t>Por provincia, según categoría de actividad económica:  año 2021</t>
  </si>
  <si>
    <t>Por provincia, según categoría de actividad económica:  año 2022</t>
  </si>
  <si>
    <t xml:space="preserve">NOTA: A precios de comprador, en medidas de volumen encadenadas, con año de referencia 2018.
</t>
  </si>
  <si>
    <t>R_S</t>
  </si>
  <si>
    <t>Artes, entretenimiento y creatividad; otras actividades de servicio</t>
  </si>
  <si>
    <t>D_E</t>
  </si>
  <si>
    <t>Suministro de electricidad, gas, vapor y aire acondicionado; agua; alcantarillado, gestión de desechos y actividades de saneamiento.</t>
  </si>
  <si>
    <t>L_M_N</t>
  </si>
  <si>
    <t>Darién  (3)</t>
  </si>
  <si>
    <t>(3)  Incluye la Comarca Emberá.</t>
  </si>
  <si>
    <t>Construcción (2)</t>
  </si>
  <si>
    <t>Actividades inmobiliarias;  profesionales, científicas y técnicas; administrativas y servicios de apoyo (2)</t>
  </si>
  <si>
    <t>PRODUCTO INTERNO BRUTO                                                  PER CÁPITA  (4)</t>
  </si>
  <si>
    <t>Bocas del Toro (1)</t>
  </si>
  <si>
    <t>Chiriquí  (1)</t>
  </si>
  <si>
    <t>Veraguas (1)</t>
  </si>
  <si>
    <t>(1)  Incluye la Comarca Ngäbe Buglé.</t>
  </si>
  <si>
    <t xml:space="preserve">PRODUCTO INTERNO BRUTO  A PRECIOS DE COMPRADOR                         </t>
  </si>
  <si>
    <t xml:space="preserve">           2008 (SCN08).       </t>
  </si>
  <si>
    <t xml:space="preserve">           La discrepancia entre el total y la suma de sus componentes se debe a la diferencia estadística que proviene de utilizar estructuras de precios de base móvil, de conformidad con la metodología sugerida en el Sistema de Cuentas Nacionales</t>
  </si>
  <si>
    <t>(P) Cifras preliminares.</t>
  </si>
  <si>
    <t>A PRECIOS CORRRIENTES</t>
  </si>
  <si>
    <t>Por provincia, según categoría de actividad económica: año 2023</t>
  </si>
  <si>
    <t>0.0 Cuando la cantidad es menor a la mitad de la unidad o fracción decimal adoptada, para la expresión del dato.</t>
  </si>
  <si>
    <t>(4)  Calculado de acuerdo a las proyecciones de la población de Panamá, al 1 de julio de cada año, a partir de los Censos Nacionales de 2010.</t>
  </si>
  <si>
    <t xml:space="preserve">             La discrepancia entre el total y la suma de sus componentes se debe a la diferencia estadística que proviene de utilizar estructuras de precios</t>
  </si>
  <si>
    <t xml:space="preserve">             de base móvil, de conformidad con la metodología sugerida en el Sistema de Cuentas Nacionales 2008 (SCN08).</t>
  </si>
  <si>
    <t xml:space="preserve">             a una base fija (2018), en un proceso de eslabones conocido como encadenamiento de series base móvil, basado en el comportamiento de los</t>
  </si>
  <si>
    <t>(1) Incluye producción de no mercado.</t>
  </si>
  <si>
    <t>(2) Otra producción no de mercado incluye Gobierno General e Instituciones Sin fines de Lucro que Sirven a los Hogares (ISFLSH).</t>
  </si>
  <si>
    <t>Otra producción no de mercado (2)</t>
  </si>
  <si>
    <t>Construcción (1)</t>
  </si>
  <si>
    <t>Actividades inmobiliarias;  profesionales, científicas y técnicas; administrativas y servicios de apoyo (1)</t>
  </si>
  <si>
    <t xml:space="preserve">           sugerida en el Sistema de Cuentas Nacionales 2008 (SCN08).</t>
  </si>
  <si>
    <t>Composición porcentual del                                                                                                                                      Producto Interno Bruto</t>
  </si>
  <si>
    <t xml:space="preserve">           base móvil, basado en el comportamiento de los volúmenes de cada año respecto al previo, considerando las estructuras de precios del año anterior.</t>
  </si>
  <si>
    <t>(1) Otra producción no de mercado incluye Gobierno General e Instituciones Sin fines de Lucro que Sirven a los Hogares (ISFLSH).</t>
  </si>
  <si>
    <t xml:space="preserve">Composición </t>
  </si>
  <si>
    <t>Variación porcentual</t>
  </si>
  <si>
    <t>Per cápita</t>
  </si>
  <si>
    <t xml:space="preserve">             volúmenes de cada año respecto al previo, considerando las estructuras de precio del año anterior.</t>
  </si>
  <si>
    <t xml:space="preserve">           La discrepancia entre el total y la suma de sus componentes se debe a la diferencia estadística que proviene de utilizar estructuras de precios de la base móvil, de conformidad con la metodología</t>
  </si>
  <si>
    <t>Producto Interno Bruto en la República, según provincia:  años 2018-24</t>
  </si>
  <si>
    <t>Por provincia, según categoría de actividad económica: año 2024</t>
  </si>
  <si>
    <t>2024 (E)</t>
  </si>
  <si>
    <t>2019-18</t>
  </si>
  <si>
    <t>2020-19</t>
  </si>
  <si>
    <t>2021-20</t>
  </si>
  <si>
    <t>2024-23 (E)</t>
  </si>
  <si>
    <t xml:space="preserve">Variación porcentual anual del                                                                                                                                                                                     Producto Interno Bruto </t>
  </si>
  <si>
    <t>Composición porcentual del                                                                                                                                                                         Producto Interno Bruto</t>
  </si>
  <si>
    <t xml:space="preserve">Variación porcentual del                                                                                                                                                                                     Producto Interno Bruto </t>
  </si>
  <si>
    <t>Composición porcentual del                                                                                                                                                            Producto Interno Bruto</t>
  </si>
  <si>
    <t>Año</t>
  </si>
  <si>
    <t>Idf_Transaccion</t>
  </si>
  <si>
    <t>Idf_Actividad</t>
  </si>
  <si>
    <t>Idf_Categoria</t>
  </si>
  <si>
    <t>Idf_Producto</t>
  </si>
  <si>
    <t>Valor</t>
  </si>
  <si>
    <t>Idf_Valoracion</t>
  </si>
  <si>
    <t>Producto Interno Bruto per cápita                                                                                                                                                              (En balboas)</t>
  </si>
  <si>
    <t>Transacción</t>
  </si>
  <si>
    <t>B00101</t>
  </si>
  <si>
    <t>VALOR AGREGADO BRUTO / PRODUCTO INTERNO BRUTO - NAEG DE MERCADO</t>
  </si>
  <si>
    <t>B00102</t>
  </si>
  <si>
    <t>VALOR AGREGADO BRUTO / PRODUCTO INTERNO BRUTO - NAEG PARA USO FINAL PROPIO</t>
  </si>
  <si>
    <t>B00103</t>
  </si>
  <si>
    <t>VALOR AGREGADO BRUTO / PRODUCTO INTERNO BRUTO - NAEG DE NO MERCADO</t>
  </si>
  <si>
    <t>Id_Producto</t>
  </si>
  <si>
    <t>Producto</t>
  </si>
  <si>
    <t>00</t>
  </si>
  <si>
    <t>Id_Actividad</t>
  </si>
  <si>
    <t>Actividad</t>
  </si>
  <si>
    <t>PIB</t>
  </si>
  <si>
    <t>DICCIONARIO</t>
  </si>
  <si>
    <t>CN - TRANSACCIONES DE CUENTAS NACIONALES</t>
  </si>
  <si>
    <t>CN - PRODUCTOS DE CUENTAS NACIONALES</t>
  </si>
  <si>
    <t>TOTAL DE PRODUCTO</t>
  </si>
  <si>
    <t>CN - ACTIVIDADES ECONOMICAS DE CUENTAS NACIONALES</t>
  </si>
  <si>
    <t>TOTAL DE ACTIVIDAD ECONOMICA</t>
  </si>
  <si>
    <t>Idf_Rama</t>
  </si>
  <si>
    <t>Rama</t>
  </si>
  <si>
    <t>F_UFP</t>
  </si>
  <si>
    <t>L_UFP</t>
  </si>
  <si>
    <t>O</t>
  </si>
  <si>
    <t>VAB</t>
  </si>
  <si>
    <t>IMP</t>
  </si>
  <si>
    <t>Producto Interno Bruto</t>
  </si>
  <si>
    <t>Tabla de datos</t>
  </si>
  <si>
    <t>Diccionario de datos</t>
  </si>
  <si>
    <t>Tabla de contenido</t>
  </si>
  <si>
    <t>Cuadro 1</t>
  </si>
  <si>
    <t>Millones de balboas</t>
  </si>
  <si>
    <t>PRODUCTO INTERNO BRUTO DE LA PROVINCIA DE BOCAS DEL TORO</t>
  </si>
  <si>
    <t>PRODUCTO INTERNO BRUTO EN MEDIDAS DE VOLUMEN ENCADENADAS POR PROVINCIA</t>
  </si>
  <si>
    <t>Cuadro 2</t>
  </si>
  <si>
    <t>Cuadro 3</t>
  </si>
  <si>
    <t>PRODUCTO INTERNO BRUTO DE LA PROVINCIA DE COCLÉ</t>
  </si>
  <si>
    <t>Cuadro 4</t>
  </si>
  <si>
    <t>PRODUCTO INTERNO BRUTO DE LA PROVINCIA DE COLÓN</t>
  </si>
  <si>
    <t>Cuadro 5</t>
  </si>
  <si>
    <t>Cuadro 6</t>
  </si>
  <si>
    <t>Cuadro 7</t>
  </si>
  <si>
    <t>PRODUCTO INTERNO BRUTO DE LA PROVINCIA DE HERRERA</t>
  </si>
  <si>
    <t>Cuadro 8</t>
  </si>
  <si>
    <t>PRODUCTO INTERNO BRUTO DE LA PROVINCIA DE LOS SANTOS</t>
  </si>
  <si>
    <t>Cuadro 9</t>
  </si>
  <si>
    <t>PRODUCTO INTERNO BRUTO DE LA PROVINCIA DE PANAMÁ</t>
  </si>
  <si>
    <t>Cuadro 10</t>
  </si>
  <si>
    <t>PRODUCTO INTERNO BRUTO DE LA PROVINCIA DE PANAMÁ OESTE</t>
  </si>
  <si>
    <t>Cuadro 11</t>
  </si>
  <si>
    <t>PRODUCTO INTERNO BRUTO DE LA PROVINCIA DE VERAGUAS</t>
  </si>
  <si>
    <t>Cuadro 12</t>
  </si>
  <si>
    <t>COMPOSICIÓN PORCENTUAL DEL PRODUCTO INTERNO BRUTO, POR PROVINCIA</t>
  </si>
  <si>
    <t>PRODUCTO INTERNO BRUTO POR PROVINCIA, A PRECIOS CORRIENTES</t>
  </si>
  <si>
    <t>Cuadro 13</t>
  </si>
  <si>
    <t>Cuadro 14</t>
  </si>
  <si>
    <t>Cuadro 15</t>
  </si>
  <si>
    <t>Cuadro 16</t>
  </si>
  <si>
    <t>Cuadro 17</t>
  </si>
  <si>
    <t>Cuadro 18</t>
  </si>
  <si>
    <t>Cuadro 19</t>
  </si>
  <si>
    <t>2023 (P)</t>
  </si>
  <si>
    <t>2022-21</t>
  </si>
  <si>
    <t>2023-22 (P)</t>
  </si>
  <si>
    <t>PRODUCTO INTERNO BRUTO PER CÁPITA A PRECIOS CORRIENTES, SEGÚN PROVINCIA</t>
  </si>
  <si>
    <t xml:space="preserve">VARIACIÓN  PORCENTUAL DEL PRODUCTO INTERNO BRUTO A PRECIOS CORRIENTES SEGÚN PROVINCIA                                                              </t>
  </si>
  <si>
    <t>COMPOSICIÓN PORCENTUAL DEL PRODUCTO INTERNO BRUTO A PRECIOS CORRIENTES, SEGÚN PROVINCIA</t>
  </si>
  <si>
    <t xml:space="preserve">COMPOSICIÓN PORCENTUAL DEL PRODUCTO INTERNO BRUTO EN LA REPÚBLICA, SEGÚN PROVINCIA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</si>
  <si>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VARIACIÓN PORCENTUAL DEL PRODUCTO INTERNO BRUTO, EN LA REPÚBLICA, SEGÚN PROVINCIA                                                                   </t>
  </si>
  <si>
    <t>PRODUCTO INTERNO BRUTO PER CÁPITA, SEGÚN PROVINCIA</t>
  </si>
  <si>
    <r>
      <t xml:space="preserve">COMPOSICIÓN PORCENTUAL </t>
    </r>
    <r>
      <rPr>
        <b/>
        <sz val="10"/>
        <color theme="1"/>
        <rFont val="Arial"/>
        <family val="2"/>
      </rPr>
      <t>DEL PRODUCTO INTERNO BRUTO, EN LA PROVINCIA DE BOCAS DEL TORO, SEGÚN CATEGORÍA DE ACTIVIDAD ECONÓMICA</t>
    </r>
  </si>
  <si>
    <t>VARIACIÓN PORCENTUAL DEL PRODUCTO INTERNO BRUTO, EN LA PROVINCIA DE BOCAS DEL TORO, SEGÚN CATEGORÍA DE ACTIVIDAD ECONÓMICA</t>
  </si>
  <si>
    <t xml:space="preserve">COMPOSICIÓN PORCENTUAL DEL PRODUCTO INTERNO BRUTO, EN LA PROVINCIA DE COCLÉ, SEGÚN CATEGORÍA DE ACTIVIDAD ECONÓMICA                                                                                                                                                                                                                                              </t>
  </si>
  <si>
    <t>VARIACIÓN  PORCENTUAL DEL PRODUCTO INTERNO BRUTO, EN LA PROVINCIA DE COCLÉ, SEGÚN CATEGORÍA DE ACTIVIDAD ECONÓMICA</t>
  </si>
  <si>
    <t>COMPOSICIÓN PORCENTUAL DEL PRODUCTO INTERNO BRUTO, EN LA PROVINCIA DE COLÓN, SEGÚN CATEGORÍA DE ACTIVIDAD ECONÓMICA</t>
  </si>
  <si>
    <t>VARIACIÓN  PORCENTUAL DEL PRODUCTO INTERNO BRUTO, EN LA PROVINCIA DE COLÓN, SEGÚN CATEGORÍA DE ACTIVIDAD ECONÓMICA</t>
  </si>
  <si>
    <t>COMPOSICIÓN PORCENTUAL DEL PRODUCTO INTERNO BRUTO, EN LA PROVINCIA DE CHIRIQUÍ, SEGÚN CATEGORÍA DE ACTIVIDAD ECONÓMICA</t>
  </si>
  <si>
    <t>VARIACIÓN  PORCENTUAL DEL PRODUCTO INTERNO BRUTO, EN LA PROVINCIA DE CHIRIQUÍ, SEGÚN CATEGORÍA DE ACTIVIDAD ECONÓMICA</t>
  </si>
  <si>
    <t>COMPOSICIÓN PORCENTUAL DEL PRODUCTO INTERNO BRUTO, EN LA PROVINCIA DE DARIÉN, SEGÚN CATEGORÍA DE ACTIVIDAD ECONÓMICA</t>
  </si>
  <si>
    <t>VARIACIÓN  PORCENTUAL DEL PRODUCTO INTERNO BRUTO, EN LA PROVINCIA DE DARIÉN, SEGÚN CATEGORÍA DE ACTIVIDAD ECONÓMICA</t>
  </si>
  <si>
    <t>COMPOSICIÓN PORCENTUAL DEL PRODUCTO INTERNO BRUTO, EN LA PROVINCIA DE HERRERA, SEGÚN CATEGORÍA DE ACTIVIDAD ECONÓMICA</t>
  </si>
  <si>
    <t>VARIACIÓN  PORCENTUAL DEL PRODUCTO INTERNO BRUTO, EN LA PROVINCIA DE HERRERA, SEGÚN CATEGORÍA DE ACTIVIDAD ECONÓMICA</t>
  </si>
  <si>
    <t>COMPOSICIÓN PORCENTUAL DEL PRODUCTO INTERNO BRUTO, EN LA PROVINCIA DE LOS SANTOS, SEGÚN CATEGORÍA DE ACTIVIDAD ECONÓMICA</t>
  </si>
  <si>
    <t>VARIACIÓN  PORCENTUAL DEL PRODUCTO INTERNO BRUTO, EN LA PROVINCIA DE LOS SANTOS, SEGÚN CATEGORÍA DE ACTIVIDAD ECONÓMICA</t>
  </si>
  <si>
    <t>COMPOSICIÓN PORCENTUAL DEL PRODUCTO INTERNO BRUTO, EN LA PROVINCIA DE PANAMÁ, SEGÚN CATEGORÍA DE ACTIVIDAD ECONÓMICA</t>
  </si>
  <si>
    <t>VARIACIÓN  PORCENTUAL DEL PRODUCTO INTERNO BRUTO, EN LA PROVINCIA DE PANAMÁ, SEGÚN CATEGORÍA DE ACTIVIDAD ECONÓMICA</t>
  </si>
  <si>
    <t>VARIACIÓN  PORCENTUAL DEL PRODUCTO INTERNO BRUTO, EN LA PROVINCIA DE PANAMÁ OESTE, SEGÚN CATEGORÍA DE ACTIVIDAD ECONÓMICA</t>
  </si>
  <si>
    <t>COMPOSICIÓN PORCENTUAL DEL PRODUCTO INTERNO BRUTO, EN LA PROVINCIA DE VERAGUAS, SEGÚN CATEGORÍA DE ACTIVIDAD ECONÓMICA</t>
  </si>
  <si>
    <t>VARIACIÓN  PORCENTUAL DEL PRODUCTO INTERNO BRUTO, EN LA PROVINCIA DE VERAGUAS, SEGÚN CATEGORÍA DE ACTIVIDAD ECONÓMICA</t>
  </si>
  <si>
    <t>(P) Cifras Preliminar</t>
  </si>
  <si>
    <t>PRODUCTO INTERNO BRUTO DE LA PROVINCIA DE CHIRIQUÍ</t>
  </si>
  <si>
    <t>PRODUCTO INTERNO BRUTO DE LA PROVINCIA DE DARIÉN</t>
  </si>
  <si>
    <t>Composición porcentual</t>
  </si>
  <si>
    <t>B100101_01</t>
  </si>
  <si>
    <t>B.1</t>
  </si>
  <si>
    <t>0311</t>
  </si>
  <si>
    <t>B100103_01</t>
  </si>
  <si>
    <t>GOB</t>
  </si>
  <si>
    <t>VAB_01</t>
  </si>
  <si>
    <t>IMP_01</t>
  </si>
  <si>
    <t>PIB_01</t>
  </si>
  <si>
    <t>B100101_02</t>
  </si>
  <si>
    <t>B100103_02</t>
  </si>
  <si>
    <t>VAB_02</t>
  </si>
  <si>
    <t>IMP_02</t>
  </si>
  <si>
    <t>PIB_02</t>
  </si>
  <si>
    <t>B100101_03</t>
  </si>
  <si>
    <t>B100103_03</t>
  </si>
  <si>
    <t>VAB_03</t>
  </si>
  <si>
    <t>IMP_03</t>
  </si>
  <si>
    <t>PIB_03</t>
  </si>
  <si>
    <t>B100101_04</t>
  </si>
  <si>
    <t>B100103_04</t>
  </si>
  <si>
    <t>VAB_04</t>
  </si>
  <si>
    <t>IMP_04</t>
  </si>
  <si>
    <t>PIB_04</t>
  </si>
  <si>
    <t>B100101_05</t>
  </si>
  <si>
    <t>B100103_05</t>
  </si>
  <si>
    <t>VAB_05</t>
  </si>
  <si>
    <t>IMP_05</t>
  </si>
  <si>
    <t>PIB_05</t>
  </si>
  <si>
    <t>B100101_06</t>
  </si>
  <si>
    <t>B100103_06</t>
  </si>
  <si>
    <t>VAB_06</t>
  </si>
  <si>
    <t>IMP_06</t>
  </si>
  <si>
    <t>PIB_06</t>
  </si>
  <si>
    <t>B100101_07</t>
  </si>
  <si>
    <t>B100103_07</t>
  </si>
  <si>
    <t>VAB_07</t>
  </si>
  <si>
    <t>IMP_07</t>
  </si>
  <si>
    <t>PIB_07</t>
  </si>
  <si>
    <t>B100101_08</t>
  </si>
  <si>
    <t>B100103_08</t>
  </si>
  <si>
    <t>VAB_08</t>
  </si>
  <si>
    <t>IMP_08</t>
  </si>
  <si>
    <t>PIB_08</t>
  </si>
  <si>
    <t>B100101_09</t>
  </si>
  <si>
    <t>B100103_09</t>
  </si>
  <si>
    <t>VAB_09</t>
  </si>
  <si>
    <t>IMP_09</t>
  </si>
  <si>
    <t>PIB_09</t>
  </si>
  <si>
    <t>B100101_13</t>
  </si>
  <si>
    <t>B100103_13</t>
  </si>
  <si>
    <t>VAB_13</t>
  </si>
  <si>
    <t>IMP_13</t>
  </si>
  <si>
    <t>PIB_13</t>
  </si>
  <si>
    <t>B100101</t>
  </si>
  <si>
    <t>0301</t>
  </si>
  <si>
    <t>PIBP_01</t>
  </si>
  <si>
    <t>PIBP_02</t>
  </si>
  <si>
    <t>PIBP_03</t>
  </si>
  <si>
    <t>PIBP_04</t>
  </si>
  <si>
    <t>PIBP_05</t>
  </si>
  <si>
    <t>PIBP_06</t>
  </si>
  <si>
    <t>PIBP_07</t>
  </si>
  <si>
    <t>PIBP_08</t>
  </si>
  <si>
    <t>PIBP_13</t>
  </si>
  <si>
    <t>PIBP_09</t>
  </si>
  <si>
    <t>PIBP</t>
  </si>
  <si>
    <t>VALOR AGREGADO BRUTO DE LA PROVINCIA DE BOCAS DEL TORO</t>
  </si>
  <si>
    <t>VALOR AGREGADO BRUTO DE LA PROVINCIA DE COCLÉ</t>
  </si>
  <si>
    <t>VALOR AGREGADO BRUTO DE LA PROVINCIA DE COLÓN</t>
  </si>
  <si>
    <t>VALOR AGREGADO BRUTO DE LA PROVINCIA DE CHIRIQUÍ</t>
  </si>
  <si>
    <t>VALOR AGREGADO BRUTO DE LA PROVINCIA DE DARIÉN</t>
  </si>
  <si>
    <t>VALOR AGREGADO BRUTO DE LA PROVINCIA DE HERRERA</t>
  </si>
  <si>
    <t>VALOR AGREGADO BRUTO DE LA PROVINCIA DE LOS SANTOS</t>
  </si>
  <si>
    <t>VALOR AGREGADO BRUTO DE LA PROVINCIA DE PANAMÁ</t>
  </si>
  <si>
    <t>VALOR AGREGADO BRUTO DE LA PROVINCIA DE PANAMÁ OESTE</t>
  </si>
  <si>
    <t>VALOR AGREGADO BRUTO DE LA PROVINCIA DE VERAGUAS</t>
  </si>
  <si>
    <t>IMPUESTO DE LA PROVINCIA DE BOCAS DEL TORO</t>
  </si>
  <si>
    <t>IMPUESTO DE LA PROVINCIA DE COCLÉ</t>
  </si>
  <si>
    <t>IMPUESTO DE LA PROVINCIA DE COLÓN</t>
  </si>
  <si>
    <t>IMPUESTO DE LA PROVINCIA DE CHIRIQUÍ</t>
  </si>
  <si>
    <t>IMPUESTO DE LA PROVINCIA DE DARIÉN</t>
  </si>
  <si>
    <t>IMPUESTO DE LA PROVINCIA DE HERRERA</t>
  </si>
  <si>
    <t>IMPUESTO DE LA PROVINCIA DE LOS SANTOS</t>
  </si>
  <si>
    <t>IMPUESTO DE LA PROVINCIA DE PANAMÁ</t>
  </si>
  <si>
    <t>IMPUESTO DE LA PROVINCIA DE PANAMÁ OESTE</t>
  </si>
  <si>
    <t>IMPUESTO DE LA PROVINCIA DE VERAGUAS</t>
  </si>
  <si>
    <t>VALOR AGREGADO</t>
  </si>
  <si>
    <t>AGRICULTURA, GANADERÍA, CAZA, SILVICULTURA, PESCA Y ACTIVIDADES DE SERVICIOS CONEXAS</t>
  </si>
  <si>
    <t>EXPLOTACIÓN DE MINAS Y CANTERAS</t>
  </si>
  <si>
    <t>INDUSTRIAS MANUFACTURERAS</t>
  </si>
  <si>
    <t>SUMINISTRO DE ELECTRICIDAD, GAS, VAPOR Y AIRE ACONDICIONADO; AGUA; ALCANTARILLADO, GESTIÓN DE DESECHOS Y ACTIVIDADES DE SANEAMIENTO</t>
  </si>
  <si>
    <t>CONSTRUCCIÓN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</si>
  <si>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</si>
  <si>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</si>
  <si>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</si>
  <si>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</si>
  <si>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</si>
  <si>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INMOBILIARIAS; PROFESIONALES, CIENTÍFICAS Y TÉCNICAS; ADMINISTRATIVAS Y SERVICIOS DE APOYO</t>
  </si>
  <si>
    <t>ENSEÑANZA</t>
  </si>
  <si>
    <t>SERVICIOS SOCIALES Y RELACIONADOS CON LA SALUD HUMANA</t>
  </si>
  <si>
    <t>ARTES, ENTRETENIMIENTO Y CREATIVIDAD; OTRAS ACTIVIDADES DE SERVICIO</t>
  </si>
  <si>
    <t>CONSTRUCCIÓN DE USO FINAL PROPIO</t>
  </si>
  <si>
    <t>ACTIVIDADES INMOBILIARIAS DE USO FINAL PROPIO</t>
  </si>
  <si>
    <t>ACTIVIDADES DE LOS HOGARES EN CALIDAD DE EMPLEADORES</t>
  </si>
  <si>
    <t>OTRA PRODUCCIÓN NO DE MERCADO</t>
  </si>
  <si>
    <t>VALOR AGREGADO BRUTO</t>
  </si>
  <si>
    <t>IMPUESTO MENOS SUBVENCIONES</t>
  </si>
  <si>
    <t>PRODUCTO INTERNO BRUTO</t>
  </si>
  <si>
    <t>PRODUCTO INTERNO BRUTO PER CÁPITA DE LA PROVINCIA DE BOCAS DEL TORO</t>
  </si>
  <si>
    <t>PRODUCTO INTERNO BRUTO PER CÁPITA DE LA PROVINCIA DE COCLÉ</t>
  </si>
  <si>
    <t>PRODUCTO INTERNO BRUTO PER CÁPITA DE LA PROVINCIA DE COLÓN</t>
  </si>
  <si>
    <t>PRODUCTO INTERNO BRUTO PER CÁPITA DE LA PROVINCIA DE CHIRIQUÍ</t>
  </si>
  <si>
    <t>PRODUCTO INTERNO BRUTO PER CÁPITA DE LA PROVINCIA DE DARIÉN</t>
  </si>
  <si>
    <t>PRODUCTO INTERNO BRUTO PER CÁPITA DE LA PROVINCIA DE HERRERA</t>
  </si>
  <si>
    <t>PRODUCTO INTERNO BRUTO PER CÁPITA DE LA PROVINCIA DE LOS SANTOS</t>
  </si>
  <si>
    <t>PRODUCTO INTERNO BRUTO PER CÁPITA DE LA PROVINCIA DE PANAMÁ</t>
  </si>
  <si>
    <t>PRODUCTO INTERNO BRUTO PER CÁPITA DE LA PROVINCIA DE PANAMÁ OESTE</t>
  </si>
  <si>
    <t>PRODUCTO INTERNO BRUTO PER CÁPITA DE LA PROVINCIA DE VERAGUAS</t>
  </si>
  <si>
    <t>VALORACIÓN</t>
  </si>
  <si>
    <t>A PRECIOS CORRIENTES</t>
  </si>
  <si>
    <t>EN MEDIDA DE VOLUMEN ENCADENADAS</t>
  </si>
  <si>
    <t>Producto Interno Bruto per cápita                                                                                                                                          (En balboas)</t>
  </si>
  <si>
    <t>Composición porcentual del                                                                                                                                                                   Producto Interno Bruto</t>
  </si>
  <si>
    <t>Composición porcentual del                                                                                                                                                  Producto Interno Bruto</t>
  </si>
  <si>
    <t>Composición porcentual del                                                                                                                                                                               Producto Interno Bruto</t>
  </si>
  <si>
    <t>Composición porcentual del                                                                                                                                                    Producto Interno Bruto</t>
  </si>
  <si>
    <t xml:space="preserve">           conocido como encadenamiento, de series base móvil, basado en el comportamiento de los volúmenes de cada año respecto al previo, considerando las estructuras de precio del año anterior.</t>
  </si>
  <si>
    <t>2018 - 24</t>
  </si>
  <si>
    <t>(2)  Incluye la Comarca Kuna Yala.</t>
  </si>
  <si>
    <t>CN - CATEGORIAS ECONÓMICAS DE CUENTAS NACIONALES</t>
  </si>
  <si>
    <t>Total República y detalle, según provincia:</t>
  </si>
  <si>
    <t>Núm. de cuadro</t>
  </si>
  <si>
    <t xml:space="preserve">Producto Interno Bruto por provincia, composición y variación porcentual </t>
  </si>
  <si>
    <t xml:space="preserve">           Las medidas de volumen encadenadas son estimaciones a precios constantes, utilizando bases móviles (precios del año anterior) asociadas  a una base fija (2018), en un proceso de eslabones</t>
  </si>
  <si>
    <t xml:space="preserve">           Las medidas de volumen encadenadas son estimaciones  a precios constantes, utilizando bases móviles (precios del año anterior) asociadas a una base fija (2018), en un proceso de eslabones conocido como encadenamiento de series de</t>
  </si>
  <si>
    <t xml:space="preserve">             Las medidas de volumen encadenadas son estimaciones  a precios constantes, utilizando bases móviles (precios del año anterior) asociadas</t>
  </si>
  <si>
    <t>COMPOSICIÓN PORCENTUAL DEL PRODUCTO INTERNO BRUTO, EN LA PROVINCIA DE PANAMÁ OESTE, SEGÚN CATEGORÍA DE ACTIVIDAD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</si>
</sst>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#,##0.0"/>
    <numFmt numFmtId="168" formatCode="_-* #,##0.0_-;\-* #,##0.0_-;_-* &quot;-&quot;??_-;_-@_-"/>
    <numFmt numFmtId="169" formatCode="#,##0.0;[Red]#,##0.0"/>
    <numFmt numFmtId="170" formatCode="0.0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3"/>
      <name val="Arial"/>
      <family val="2"/>
    </font>
    <font>
      <u/>
      <sz val="11"/>
      <color theme="10"/>
      <name val="Calibri"/>
      <family val="2"/>
      <scheme val="minor"/>
    </font>
    <font>
      <sz val="12"/>
      <name val="SWISS"/>
    </font>
    <font>
      <sz val="10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0F243E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rgb="FF0F243E"/>
      </bottom>
      <diagonal/>
    </border>
    <border>
      <left style="thin">
        <color theme="0"/>
      </left>
      <right/>
      <top style="thin">
        <color theme="0"/>
      </top>
      <bottom style="double">
        <color rgb="FF0F243E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 style="thin">
        <color theme="0"/>
      </right>
      <top style="double">
        <color theme="0"/>
      </top>
      <bottom/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8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thin">
        <color theme="0"/>
      </top>
      <bottom style="double">
        <color rgb="FF0F243E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 style="thin">
        <color theme="0"/>
      </left>
      <right/>
      <top/>
      <bottom style="double">
        <color auto="1"/>
      </bottom>
      <diagonal/>
    </border>
    <border>
      <left/>
      <right style="thin">
        <color theme="0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ouble">
        <color theme="0"/>
      </right>
      <top style="double">
        <color theme="0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double">
        <color theme="0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 style="double">
        <color auto="1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70" fontId="14" fillId="0" borderId="0"/>
    <xf numFmtId="0" fontId="15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  <xf numFmtId="0" fontId="2" fillId="0" borderId="0"/>
  </cellStyleXfs>
  <cellXfs count="229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167" fontId="5" fillId="2" borderId="3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/>
    <xf numFmtId="167" fontId="8" fillId="2" borderId="0" xfId="0" applyNumberFormat="1" applyFont="1" applyFill="1"/>
    <xf numFmtId="0" fontId="11" fillId="2" borderId="0" xfId="0" applyFont="1" applyFill="1"/>
    <xf numFmtId="0" fontId="2" fillId="2" borderId="0" xfId="2" applyFill="1" applyAlignment="1">
      <alignment horizontal="justify" vertical="justify"/>
    </xf>
    <xf numFmtId="167" fontId="4" fillId="2" borderId="8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167" fontId="9" fillId="2" borderId="0" xfId="0" applyNumberFormat="1" applyFont="1" applyFill="1" applyAlignment="1">
      <alignment horizontal="center"/>
    </xf>
    <xf numFmtId="167" fontId="5" fillId="2" borderId="0" xfId="0" applyNumberFormat="1" applyFont="1" applyFill="1" applyAlignment="1">
      <alignment vertical="center"/>
    </xf>
    <xf numFmtId="167" fontId="11" fillId="2" borderId="1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" fontId="5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67" fontId="11" fillId="2" borderId="6" xfId="0" applyNumberFormat="1" applyFont="1" applyFill="1" applyBorder="1" applyAlignment="1">
      <alignment vertical="center"/>
    </xf>
    <xf numFmtId="167" fontId="11" fillId="2" borderId="5" xfId="0" applyNumberFormat="1" applyFont="1" applyFill="1" applyBorder="1" applyAlignment="1">
      <alignment vertical="center"/>
    </xf>
    <xf numFmtId="1" fontId="5" fillId="2" borderId="11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 vertical="center"/>
    </xf>
    <xf numFmtId="169" fontId="9" fillId="2" borderId="8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" fontId="5" fillId="2" borderId="10" xfId="0" applyNumberFormat="1" applyFont="1" applyFill="1" applyBorder="1" applyAlignment="1">
      <alignment horizontal="center" vertical="center"/>
    </xf>
    <xf numFmtId="0" fontId="2" fillId="2" borderId="9" xfId="0" applyFont="1" applyFill="1" applyBorder="1"/>
    <xf numFmtId="167" fontId="7" fillId="2" borderId="5" xfId="0" applyNumberFormat="1" applyFont="1" applyFill="1" applyBorder="1" applyAlignment="1">
      <alignment vertical="center"/>
    </xf>
    <xf numFmtId="167" fontId="9" fillId="2" borderId="0" xfId="0" applyNumberFormat="1" applyFont="1" applyFill="1" applyAlignment="1">
      <alignment horizontal="left"/>
    </xf>
    <xf numFmtId="167" fontId="7" fillId="2" borderId="7" xfId="0" applyNumberFormat="1" applyFont="1" applyFill="1" applyBorder="1" applyAlignment="1">
      <alignment vertical="center"/>
    </xf>
    <xf numFmtId="1" fontId="9" fillId="2" borderId="0" xfId="0" applyNumberFormat="1" applyFont="1" applyFill="1" applyAlignment="1">
      <alignment horizontal="center" vertical="center"/>
    </xf>
    <xf numFmtId="167" fontId="4" fillId="2" borderId="6" xfId="0" applyNumberFormat="1" applyFont="1" applyFill="1" applyBorder="1" applyAlignment="1">
      <alignment vertical="center"/>
    </xf>
    <xf numFmtId="0" fontId="10" fillId="2" borderId="0" xfId="0" applyFont="1" applyFill="1"/>
    <xf numFmtId="0" fontId="2" fillId="2" borderId="1" xfId="0" applyFont="1" applyFill="1" applyBorder="1" applyAlignment="1">
      <alignment vertical="center" wrapText="1"/>
    </xf>
    <xf numFmtId="167" fontId="9" fillId="2" borderId="11" xfId="0" applyNumberFormat="1" applyFont="1" applyFill="1" applyBorder="1" applyAlignment="1">
      <alignment horizontal="left" vertical="center" wrapText="1"/>
    </xf>
    <xf numFmtId="167" fontId="11" fillId="2" borderId="0" xfId="0" applyNumberFormat="1" applyFont="1" applyFill="1"/>
    <xf numFmtId="167" fontId="8" fillId="2" borderId="0" xfId="0" applyNumberFormat="1" applyFont="1" applyFill="1" applyAlignment="1">
      <alignment vertical="center"/>
    </xf>
    <xf numFmtId="167" fontId="13" fillId="2" borderId="0" xfId="6" applyNumberFormat="1" applyFill="1"/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" fillId="2" borderId="0" xfId="2" applyFill="1" applyAlignment="1">
      <alignment vertical="center" wrapText="1"/>
    </xf>
    <xf numFmtId="0" fontId="2" fillId="2" borderId="0" xfId="2" applyFill="1" applyAlignment="1">
      <alignment horizontal="justify" vertical="center"/>
    </xf>
    <xf numFmtId="164" fontId="8" fillId="2" borderId="0" xfId="1" applyFont="1" applyFill="1" applyAlignment="1">
      <alignment vertical="center"/>
    </xf>
    <xf numFmtId="164" fontId="8" fillId="2" borderId="0" xfId="1" applyFont="1" applyFill="1" applyBorder="1" applyAlignment="1">
      <alignment vertical="center"/>
    </xf>
    <xf numFmtId="164" fontId="8" fillId="2" borderId="0" xfId="1" applyFont="1" applyFill="1"/>
    <xf numFmtId="165" fontId="11" fillId="2" borderId="0" xfId="1" applyNumberFormat="1" applyFont="1" applyFill="1" applyBorder="1" applyAlignment="1">
      <alignment vertical="center"/>
    </xf>
    <xf numFmtId="166" fontId="11" fillId="2" borderId="0" xfId="1" applyNumberFormat="1" applyFont="1" applyFill="1" applyBorder="1" applyAlignment="1">
      <alignment vertical="center"/>
    </xf>
    <xf numFmtId="166" fontId="8" fillId="2" borderId="0" xfId="1" applyNumberFormat="1" applyFont="1" applyFill="1"/>
    <xf numFmtId="168" fontId="8" fillId="2" borderId="0" xfId="0" applyNumberFormat="1" applyFont="1" applyFill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9" fillId="2" borderId="5" xfId="1" applyNumberFormat="1" applyFont="1" applyFill="1" applyBorder="1" applyAlignment="1">
      <alignment vertical="center"/>
    </xf>
    <xf numFmtId="165" fontId="8" fillId="2" borderId="0" xfId="0" applyNumberFormat="1" applyFont="1" applyFill="1" applyAlignment="1">
      <alignment horizontal="right" vertical="center"/>
    </xf>
    <xf numFmtId="0" fontId="2" fillId="2" borderId="13" xfId="10" applyFont="1" applyFill="1" applyBorder="1" applyAlignment="1">
      <alignment horizontal="center" vertical="center"/>
    </xf>
    <xf numFmtId="0" fontId="2" fillId="2" borderId="0" xfId="10" applyFont="1" applyFill="1" applyAlignment="1">
      <alignment horizontal="left" vertical="center" wrapText="1"/>
    </xf>
    <xf numFmtId="166" fontId="8" fillId="2" borderId="0" xfId="1" applyNumberFormat="1" applyFont="1" applyFill="1" applyBorder="1" applyAlignment="1">
      <alignment vertical="center"/>
    </xf>
    <xf numFmtId="0" fontId="2" fillId="2" borderId="0" xfId="10" applyFont="1" applyFill="1"/>
    <xf numFmtId="0" fontId="2" fillId="2" borderId="13" xfId="10" applyFont="1" applyFill="1" applyBorder="1" applyAlignment="1">
      <alignment horizontal="left" vertical="center" wrapText="1"/>
    </xf>
    <xf numFmtId="0" fontId="2" fillId="2" borderId="0" xfId="3" applyFont="1" applyFill="1"/>
    <xf numFmtId="166" fontId="9" fillId="2" borderId="6" xfId="1" applyNumberFormat="1" applyFont="1" applyFill="1" applyBorder="1" applyAlignment="1">
      <alignment vertical="center"/>
    </xf>
    <xf numFmtId="166" fontId="6" fillId="2" borderId="0" xfId="1" applyNumberFormat="1" applyFont="1" applyFill="1" applyAlignment="1">
      <alignment vertical="center"/>
    </xf>
    <xf numFmtId="0" fontId="2" fillId="2" borderId="0" xfId="2" applyFill="1" applyAlignment="1">
      <alignment horizontal="left" vertical="center"/>
    </xf>
    <xf numFmtId="0" fontId="2" fillId="2" borderId="17" xfId="10" applyFont="1" applyFill="1" applyBorder="1" applyAlignment="1">
      <alignment horizontal="left" vertical="center"/>
    </xf>
    <xf numFmtId="0" fontId="2" fillId="2" borderId="15" xfId="10" applyFont="1" applyFill="1" applyBorder="1" applyAlignment="1">
      <alignment horizontal="center" vertical="center"/>
    </xf>
    <xf numFmtId="0" fontId="2" fillId="2" borderId="15" xfId="10" applyFont="1" applyFill="1" applyBorder="1" applyAlignment="1">
      <alignment horizontal="left" vertical="center"/>
    </xf>
    <xf numFmtId="0" fontId="2" fillId="2" borderId="0" xfId="2" applyFill="1" applyAlignment="1">
      <alignment horizontal="justify" vertical="center" wrapText="1"/>
    </xf>
    <xf numFmtId="0" fontId="2" fillId="2" borderId="0" xfId="2" applyFill="1" applyAlignment="1">
      <alignment vertical="center"/>
    </xf>
    <xf numFmtId="0" fontId="2" fillId="2" borderId="0" xfId="2" applyFill="1" applyAlignment="1">
      <alignment vertical="top"/>
    </xf>
    <xf numFmtId="0" fontId="13" fillId="2" borderId="0" xfId="6" applyFill="1" applyAlignment="1">
      <alignment horizontal="left" vertical="center"/>
    </xf>
    <xf numFmtId="169" fontId="9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left" vertical="center" wrapText="1"/>
    </xf>
    <xf numFmtId="0" fontId="13" fillId="2" borderId="0" xfId="6" applyFill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16" xfId="1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169" fontId="9" fillId="2" borderId="4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167" fontId="9" fillId="2" borderId="16" xfId="0" applyNumberFormat="1" applyFont="1" applyFill="1" applyBorder="1" applyAlignment="1">
      <alignment horizontal="left" vertical="center" wrapText="1"/>
    </xf>
    <xf numFmtId="0" fontId="11" fillId="2" borderId="18" xfId="0" applyFont="1" applyFill="1" applyBorder="1"/>
    <xf numFmtId="0" fontId="5" fillId="2" borderId="0" xfId="0" applyFont="1" applyFill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43" fontId="8" fillId="2" borderId="0" xfId="0" applyNumberFormat="1" applyFont="1" applyFill="1" applyAlignment="1">
      <alignment vertical="center"/>
    </xf>
    <xf numFmtId="0" fontId="11" fillId="2" borderId="0" xfId="0" applyFont="1" applyFill="1" applyBorder="1"/>
    <xf numFmtId="166" fontId="11" fillId="2" borderId="0" xfId="1" applyNumberFormat="1" applyFont="1" applyFill="1"/>
    <xf numFmtId="167" fontId="7" fillId="2" borderId="1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Continuous" vertical="center" wrapText="1"/>
    </xf>
    <xf numFmtId="0" fontId="2" fillId="2" borderId="0" xfId="3" applyFont="1" applyFill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vertical="center"/>
    </xf>
    <xf numFmtId="0" fontId="2" fillId="2" borderId="0" xfId="2" applyFill="1" applyBorder="1" applyAlignment="1">
      <alignment vertical="top"/>
    </xf>
    <xf numFmtId="0" fontId="2" fillId="2" borderId="0" xfId="2" applyFill="1" applyBorder="1" applyAlignment="1">
      <alignment vertical="center"/>
    </xf>
    <xf numFmtId="166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0" xfId="2" applyFill="1" applyAlignment="1">
      <alignment horizontal="justify" vertical="center" wrapText="1"/>
    </xf>
    <xf numFmtId="0" fontId="8" fillId="2" borderId="0" xfId="0" applyFont="1" applyFill="1" applyAlignment="1">
      <alignment vertical="center"/>
    </xf>
    <xf numFmtId="164" fontId="6" fillId="2" borderId="0" xfId="1" applyFont="1" applyFill="1" applyBorder="1" applyAlignment="1">
      <alignment vertical="center"/>
    </xf>
    <xf numFmtId="165" fontId="8" fillId="2" borderId="0" xfId="0" applyNumberFormat="1" applyFont="1" applyFill="1"/>
    <xf numFmtId="164" fontId="2" fillId="2" borderId="0" xfId="1" applyFont="1" applyFill="1" applyAlignment="1">
      <alignment horizontal="justify" vertical="center"/>
    </xf>
    <xf numFmtId="167" fontId="7" fillId="2" borderId="0" xfId="0" applyNumberFormat="1" applyFont="1" applyFill="1" applyAlignment="1">
      <alignment horizontal="center" vertical="center"/>
    </xf>
    <xf numFmtId="167" fontId="11" fillId="2" borderId="14" xfId="0" applyNumberFormat="1" applyFont="1" applyFill="1" applyBorder="1" applyAlignment="1">
      <alignment vertical="center"/>
    </xf>
    <xf numFmtId="0" fontId="2" fillId="2" borderId="0" xfId="2" applyFill="1" applyAlignment="1">
      <alignment horizontal="left" vertical="center" wrapText="1"/>
    </xf>
    <xf numFmtId="0" fontId="11" fillId="2" borderId="0" xfId="0" applyFont="1" applyFill="1" applyAlignment="1">
      <alignment wrapText="1"/>
    </xf>
    <xf numFmtId="0" fontId="17" fillId="2" borderId="0" xfId="0" applyFont="1" applyFill="1" applyAlignment="1">
      <alignment vertical="center"/>
    </xf>
    <xf numFmtId="166" fontId="5" fillId="2" borderId="14" xfId="1" applyNumberFormat="1" applyFont="1" applyFill="1" applyBorder="1" applyAlignment="1">
      <alignment vertical="center"/>
    </xf>
    <xf numFmtId="167" fontId="2" fillId="2" borderId="1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7" fontId="8" fillId="2" borderId="0" xfId="0" applyNumberFormat="1" applyFont="1" applyFill="1" applyBorder="1" applyAlignment="1">
      <alignment vertical="center"/>
    </xf>
    <xf numFmtId="0" fontId="18" fillId="2" borderId="0" xfId="6" applyFont="1" applyFill="1" applyBorder="1" applyAlignment="1">
      <alignment vertical="center"/>
    </xf>
    <xf numFmtId="0" fontId="0" fillId="2" borderId="0" xfId="0" applyFill="1"/>
    <xf numFmtId="0" fontId="13" fillId="2" borderId="0" xfId="6" applyFill="1"/>
    <xf numFmtId="167" fontId="11" fillId="2" borderId="23" xfId="0" applyNumberFormat="1" applyFont="1" applyFill="1" applyBorder="1" applyAlignment="1">
      <alignment vertical="center"/>
    </xf>
    <xf numFmtId="0" fontId="2" fillId="2" borderId="0" xfId="2" applyFill="1" applyAlignment="1">
      <alignment horizontal="left" vertical="center" wrapText="1"/>
    </xf>
    <xf numFmtId="0" fontId="19" fillId="3" borderId="24" xfId="2" applyFont="1" applyFill="1" applyBorder="1" applyAlignment="1">
      <alignment horizontal="center" vertical="center"/>
    </xf>
    <xf numFmtId="0" fontId="19" fillId="3" borderId="25" xfId="2" applyFont="1" applyFill="1" applyBorder="1" applyAlignment="1">
      <alignment horizontal="center" vertical="center"/>
    </xf>
    <xf numFmtId="170" fontId="11" fillId="2" borderId="0" xfId="20" applyNumberFormat="1" applyFont="1" applyFill="1"/>
    <xf numFmtId="0" fontId="2" fillId="2" borderId="0" xfId="20" applyFont="1" applyFill="1"/>
    <xf numFmtId="0" fontId="19" fillId="3" borderId="24" xfId="10" applyFont="1" applyFill="1" applyBorder="1" applyAlignment="1">
      <alignment horizontal="center" vertical="center"/>
    </xf>
    <xf numFmtId="0" fontId="19" fillId="3" borderId="25" xfId="10" applyFont="1" applyFill="1" applyBorder="1" applyAlignment="1">
      <alignment horizontal="center" vertical="center"/>
    </xf>
    <xf numFmtId="0" fontId="19" fillId="3" borderId="26" xfId="13" applyFont="1" applyFill="1" applyBorder="1" applyAlignment="1">
      <alignment horizontal="centerContinuous" vertical="center" wrapText="1"/>
    </xf>
    <xf numFmtId="0" fontId="19" fillId="3" borderId="26" xfId="13" applyFont="1" applyFill="1" applyBorder="1" applyAlignment="1">
      <alignment horizontal="centerContinuous" wrapText="1"/>
    </xf>
    <xf numFmtId="0" fontId="19" fillId="3" borderId="27" xfId="13" applyFont="1" applyFill="1" applyBorder="1" applyAlignment="1">
      <alignment horizontal="centerContinuous" wrapText="1"/>
    </xf>
    <xf numFmtId="166" fontId="9" fillId="2" borderId="23" xfId="1" applyNumberFormat="1" applyFont="1" applyFill="1" applyBorder="1" applyAlignment="1">
      <alignment vertical="center"/>
    </xf>
    <xf numFmtId="167" fontId="7" fillId="2" borderId="23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167" fontId="11" fillId="2" borderId="22" xfId="0" applyNumberFormat="1" applyFont="1" applyFill="1" applyBorder="1" applyAlignment="1">
      <alignment vertical="center"/>
    </xf>
    <xf numFmtId="167" fontId="11" fillId="2" borderId="32" xfId="0" applyNumberFormat="1" applyFont="1" applyFill="1" applyBorder="1" applyAlignment="1">
      <alignment vertical="center"/>
    </xf>
    <xf numFmtId="0" fontId="19" fillId="3" borderId="34" xfId="15" applyFont="1" applyFill="1" applyBorder="1" applyAlignment="1">
      <alignment horizontal="center" vertical="center"/>
    </xf>
    <xf numFmtId="169" fontId="19" fillId="3" borderId="34" xfId="15" applyNumberFormat="1" applyFont="1" applyFill="1" applyBorder="1" applyAlignment="1">
      <alignment horizontal="center" vertical="center"/>
    </xf>
    <xf numFmtId="0" fontId="2" fillId="2" borderId="35" xfId="10" applyFont="1" applyFill="1" applyBorder="1" applyAlignment="1">
      <alignment horizontal="center" vertical="center"/>
    </xf>
    <xf numFmtId="0" fontId="2" fillId="2" borderId="35" xfId="10" applyFont="1" applyFill="1" applyBorder="1" applyAlignment="1">
      <alignment horizontal="left" vertical="center" wrapText="1"/>
    </xf>
    <xf numFmtId="167" fontId="2" fillId="2" borderId="36" xfId="0" applyNumberFormat="1" applyFont="1" applyFill="1" applyBorder="1" applyAlignment="1">
      <alignment vertical="center"/>
    </xf>
    <xf numFmtId="167" fontId="11" fillId="2" borderId="36" xfId="0" applyNumberFormat="1" applyFont="1" applyFill="1" applyBorder="1" applyAlignment="1">
      <alignment vertical="center"/>
    </xf>
    <xf numFmtId="167" fontId="11" fillId="2" borderId="37" xfId="0" applyNumberFormat="1" applyFont="1" applyFill="1" applyBorder="1" applyAlignment="1">
      <alignment vertical="center"/>
    </xf>
    <xf numFmtId="43" fontId="8" fillId="2" borderId="0" xfId="0" applyNumberFormat="1" applyFont="1" applyFill="1" applyBorder="1" applyAlignment="1">
      <alignment vertical="center"/>
    </xf>
    <xf numFmtId="167" fontId="4" fillId="2" borderId="23" xfId="0" applyNumberFormat="1" applyFont="1" applyFill="1" applyBorder="1" applyAlignment="1">
      <alignment vertical="center"/>
    </xf>
    <xf numFmtId="0" fontId="19" fillId="3" borderId="38" xfId="10" applyFont="1" applyFill="1" applyBorder="1" applyAlignment="1">
      <alignment horizontal="center" vertical="center"/>
    </xf>
    <xf numFmtId="167" fontId="11" fillId="2" borderId="19" xfId="0" applyNumberFormat="1" applyFont="1" applyFill="1" applyBorder="1" applyAlignment="1">
      <alignment vertical="center"/>
    </xf>
    <xf numFmtId="167" fontId="7" fillId="2" borderId="32" xfId="0" applyNumberFormat="1" applyFont="1" applyFill="1" applyBorder="1" applyAlignment="1">
      <alignment vertical="center"/>
    </xf>
    <xf numFmtId="167" fontId="2" fillId="2" borderId="32" xfId="0" applyNumberFormat="1" applyFont="1" applyFill="1" applyBorder="1" applyAlignment="1">
      <alignment vertical="center"/>
    </xf>
    <xf numFmtId="167" fontId="4" fillId="2" borderId="32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2" fillId="2" borderId="0" xfId="5" applyFont="1" applyFill="1" applyBorder="1" applyAlignment="1">
      <alignment horizontal="left" vertical="center"/>
    </xf>
    <xf numFmtId="0" fontId="20" fillId="3" borderId="48" xfId="17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Continuous" vertical="center"/>
    </xf>
    <xf numFmtId="0" fontId="4" fillId="2" borderId="45" xfId="0" applyFont="1" applyFill="1" applyBorder="1" applyAlignment="1">
      <alignment horizontal="centerContinuous" vertical="center"/>
    </xf>
    <xf numFmtId="0" fontId="4" fillId="2" borderId="44" xfId="0" applyFont="1" applyFill="1" applyBorder="1" applyAlignment="1">
      <alignment horizontal="centerContinuous" vertical="center" wrapText="1"/>
    </xf>
    <xf numFmtId="0" fontId="4" fillId="2" borderId="45" xfId="0" applyFont="1" applyFill="1" applyBorder="1" applyAlignment="1">
      <alignment horizontal="centerContinuous" vertical="center" wrapText="1"/>
    </xf>
    <xf numFmtId="0" fontId="2" fillId="2" borderId="44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2" fillId="2" borderId="49" xfId="0" applyFont="1" applyFill="1" applyBorder="1" applyAlignment="1">
      <alignment horizontal="center" vertical="center"/>
    </xf>
    <xf numFmtId="0" fontId="20" fillId="3" borderId="50" xfId="17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2" fillId="2" borderId="45" xfId="6" applyFont="1" applyFill="1" applyBorder="1" applyAlignment="1">
      <alignment horizontal="left" vertical="center"/>
    </xf>
    <xf numFmtId="0" fontId="4" fillId="2" borderId="45" xfId="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 wrapText="1"/>
    </xf>
    <xf numFmtId="0" fontId="9" fillId="2" borderId="31" xfId="0" applyFont="1" applyFill="1" applyBorder="1" applyAlignment="1">
      <alignment horizontal="centerContinuous" vertical="center" wrapText="1"/>
    </xf>
    <xf numFmtId="0" fontId="2" fillId="0" borderId="0" xfId="2"/>
    <xf numFmtId="49" fontId="2" fillId="0" borderId="0" xfId="2" applyNumberFormat="1" applyAlignment="1">
      <alignment vertical="center"/>
    </xf>
    <xf numFmtId="49" fontId="22" fillId="0" borderId="0" xfId="2" applyNumberFormat="1" applyFont="1"/>
    <xf numFmtId="0" fontId="4" fillId="0" borderId="21" xfId="2" applyFont="1" applyBorder="1" applyAlignment="1">
      <alignment vertical="center"/>
    </xf>
    <xf numFmtId="0" fontId="4" fillId="0" borderId="21" xfId="26" applyFont="1" applyBorder="1" applyAlignment="1">
      <alignment vertical="center"/>
    </xf>
    <xf numFmtId="49" fontId="2" fillId="0" borderId="0" xfId="26" applyNumberFormat="1" applyAlignment="1">
      <alignment vertical="center"/>
    </xf>
    <xf numFmtId="0" fontId="2" fillId="2" borderId="44" xfId="0" applyFont="1" applyFill="1" applyBorder="1" applyAlignment="1">
      <alignment horizontal="centerContinuous"/>
    </xf>
    <xf numFmtId="0" fontId="2" fillId="2" borderId="45" xfId="0" applyFont="1" applyFill="1" applyBorder="1" applyAlignment="1">
      <alignment horizontal="centerContinuous" vertical="center"/>
    </xf>
    <xf numFmtId="0" fontId="2" fillId="2" borderId="42" xfId="0" applyFont="1" applyFill="1" applyBorder="1" applyAlignment="1">
      <alignment horizontal="centerContinuous"/>
    </xf>
    <xf numFmtId="0" fontId="4" fillId="2" borderId="44" xfId="0" applyFont="1" applyFill="1" applyBorder="1" applyAlignment="1">
      <alignment horizontal="centerContinuous"/>
    </xf>
    <xf numFmtId="0" fontId="2" fillId="2" borderId="44" xfId="0" applyFont="1" applyFill="1" applyBorder="1" applyAlignment="1">
      <alignment horizontal="centerContinuous" wrapText="1"/>
    </xf>
    <xf numFmtId="0" fontId="2" fillId="2" borderId="0" xfId="2" applyFont="1" applyFill="1" applyAlignment="1"/>
    <xf numFmtId="0" fontId="4" fillId="2" borderId="0" xfId="2" applyFont="1" applyFill="1" applyAlignment="1" applyProtection="1">
      <alignment horizontal="left"/>
    </xf>
    <xf numFmtId="0" fontId="2" fillId="2" borderId="0" xfId="2" applyFont="1" applyFill="1" applyAlignment="1">
      <alignment horizontal="left"/>
    </xf>
    <xf numFmtId="0" fontId="8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9" fillId="2" borderId="31" xfId="0" applyNumberFormat="1" applyFont="1" applyFill="1" applyBorder="1" applyAlignment="1">
      <alignment vertical="center"/>
    </xf>
    <xf numFmtId="0" fontId="2" fillId="2" borderId="0" xfId="6" applyFont="1" applyFill="1" applyBorder="1" applyAlignment="1">
      <alignment vertical="center"/>
    </xf>
    <xf numFmtId="166" fontId="11" fillId="2" borderId="1" xfId="1" applyNumberFormat="1" applyFont="1" applyFill="1" applyBorder="1" applyAlignment="1">
      <alignment vertical="center"/>
    </xf>
    <xf numFmtId="166" fontId="11" fillId="2" borderId="14" xfId="1" applyNumberFormat="1" applyFont="1" applyFill="1" applyBorder="1" applyAlignment="1">
      <alignment vertical="center"/>
    </xf>
    <xf numFmtId="166" fontId="11" fillId="2" borderId="6" xfId="1" applyNumberFormat="1" applyFont="1" applyFill="1" applyBorder="1" applyAlignment="1">
      <alignment vertical="center"/>
    </xf>
    <xf numFmtId="166" fontId="11" fillId="2" borderId="20" xfId="1" applyNumberFormat="1" applyFont="1" applyFill="1" applyBorder="1" applyAlignment="1">
      <alignment vertical="center"/>
    </xf>
    <xf numFmtId="166" fontId="11" fillId="2" borderId="23" xfId="1" applyNumberFormat="1" applyFont="1" applyFill="1" applyBorder="1" applyAlignment="1">
      <alignment vertical="center"/>
    </xf>
    <xf numFmtId="166" fontId="7" fillId="2" borderId="6" xfId="1" applyNumberFormat="1" applyFont="1" applyFill="1" applyBorder="1" applyAlignment="1">
      <alignment vertical="center"/>
    </xf>
    <xf numFmtId="166" fontId="7" fillId="2" borderId="20" xfId="1" applyNumberFormat="1" applyFont="1" applyFill="1" applyBorder="1" applyAlignment="1">
      <alignment vertical="center"/>
    </xf>
    <xf numFmtId="166" fontId="7" fillId="2" borderId="23" xfId="1" applyNumberFormat="1" applyFont="1" applyFill="1" applyBorder="1" applyAlignment="1">
      <alignment vertical="center"/>
    </xf>
    <xf numFmtId="169" fontId="23" fillId="4" borderId="0" xfId="15" applyNumberFormat="1" applyFont="1" applyFill="1" applyBorder="1" applyAlignment="1">
      <alignment vertical="center"/>
    </xf>
    <xf numFmtId="166" fontId="11" fillId="2" borderId="0" xfId="1" applyNumberFormat="1" applyFont="1" applyFill="1" applyBorder="1"/>
    <xf numFmtId="0" fontId="8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66" fontId="11" fillId="2" borderId="0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0" xfId="2" applyNumberFormat="1" applyAlignment="1">
      <alignment vertical="center"/>
    </xf>
    <xf numFmtId="0" fontId="2" fillId="2" borderId="0" xfId="2" applyFill="1" applyAlignment="1">
      <alignment horizontal="left" vertical="top" wrapText="1"/>
    </xf>
    <xf numFmtId="0" fontId="2" fillId="2" borderId="0" xfId="2" applyFill="1" applyAlignment="1">
      <alignment horizontal="left" vertical="top"/>
    </xf>
    <xf numFmtId="0" fontId="19" fillId="3" borderId="28" xfId="10" applyFont="1" applyFill="1" applyBorder="1" applyAlignment="1">
      <alignment horizontal="center" vertical="center" wrapText="1"/>
    </xf>
    <xf numFmtId="0" fontId="19" fillId="3" borderId="29" xfId="10" applyFont="1" applyFill="1" applyBorder="1" applyAlignment="1">
      <alignment horizontal="center" vertical="center" wrapText="1"/>
    </xf>
    <xf numFmtId="0" fontId="19" fillId="3" borderId="40" xfId="10" applyFont="1" applyFill="1" applyBorder="1" applyAlignment="1">
      <alignment horizontal="center" vertical="center" wrapText="1"/>
    </xf>
    <xf numFmtId="0" fontId="19" fillId="3" borderId="41" xfId="1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9" fillId="3" borderId="26" xfId="10" applyFont="1" applyFill="1" applyBorder="1" applyAlignment="1">
      <alignment horizontal="center" vertical="center" wrapText="1"/>
    </xf>
    <xf numFmtId="0" fontId="19" fillId="3" borderId="39" xfId="10" applyFont="1" applyFill="1" applyBorder="1" applyAlignment="1">
      <alignment horizontal="center" vertical="center" wrapText="1"/>
    </xf>
    <xf numFmtId="0" fontId="19" fillId="3" borderId="27" xfId="10" applyFont="1" applyFill="1" applyBorder="1" applyAlignment="1">
      <alignment horizontal="center" vertical="center" wrapText="1"/>
    </xf>
    <xf numFmtId="0" fontId="19" fillId="3" borderId="53" xfId="10" applyFont="1" applyFill="1" applyBorder="1" applyAlignment="1">
      <alignment horizontal="center" vertical="center" wrapText="1"/>
    </xf>
    <xf numFmtId="0" fontId="19" fillId="3" borderId="54" xfId="10" applyFont="1" applyFill="1" applyBorder="1" applyAlignment="1">
      <alignment horizontal="center" vertical="center" wrapText="1"/>
    </xf>
    <xf numFmtId="0" fontId="2" fillId="2" borderId="0" xfId="2" applyFill="1" applyAlignment="1">
      <alignment horizontal="justify" vertical="top" wrapText="1"/>
    </xf>
    <xf numFmtId="0" fontId="19" fillId="3" borderId="34" xfId="10" applyFont="1" applyFill="1" applyBorder="1" applyAlignment="1">
      <alignment horizontal="center" vertical="center" wrapText="1"/>
    </xf>
    <xf numFmtId="0" fontId="19" fillId="3" borderId="30" xfId="10" applyFont="1" applyFill="1" applyBorder="1" applyAlignment="1">
      <alignment horizontal="center" vertical="center" wrapText="1"/>
    </xf>
    <xf numFmtId="0" fontId="19" fillId="3" borderId="33" xfId="10" applyFont="1" applyFill="1" applyBorder="1" applyAlignment="1">
      <alignment horizontal="center" vertical="center" wrapText="1"/>
    </xf>
    <xf numFmtId="0" fontId="2" fillId="2" borderId="0" xfId="2" applyFill="1" applyAlignment="1">
      <alignment horizontal="left" vertical="center" wrapText="1"/>
    </xf>
    <xf numFmtId="169" fontId="23" fillId="4" borderId="52" xfId="15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7">
    <cellStyle name="Hipervínculo" xfId="6" builtinId="8"/>
    <cellStyle name="Hipervínculo 2" xfId="25"/>
    <cellStyle name="Millares" xfId="1" builtinId="3"/>
    <cellStyle name="Millares 2" xfId="4"/>
    <cellStyle name="Millares 2 2" xfId="8"/>
    <cellStyle name="Millares 2 3" xfId="22"/>
    <cellStyle name="Millares 3" xfId="12"/>
    <cellStyle name="Millares 3 2" xfId="14"/>
    <cellStyle name="Millares 3 3" xfId="23"/>
    <cellStyle name="Millares 4" xfId="21"/>
    <cellStyle name="Millares 5 3" xfId="9"/>
    <cellStyle name="Millares 8" xfId="11"/>
    <cellStyle name="Normal" xfId="0" builtinId="0"/>
    <cellStyle name="Normal 10" xfId="20"/>
    <cellStyle name="Normal 2" xfId="2"/>
    <cellStyle name="Normal 2 2 2" xfId="18"/>
    <cellStyle name="Normal 2 2 3" xfId="15"/>
    <cellStyle name="Normal 3" xfId="13"/>
    <cellStyle name="Normal 3 2" xfId="17"/>
    <cellStyle name="Normal 3 3" xfId="26"/>
    <cellStyle name="Normal 4" xfId="19"/>
    <cellStyle name="Normal 5" xfId="24"/>
    <cellStyle name="Normal 5 3" xfId="3"/>
    <cellStyle name="Normal 5 4" xfId="16"/>
    <cellStyle name="Normal 7" xfId="7"/>
    <cellStyle name="Normal 8" xfId="10"/>
    <cellStyle name="Normal_Cuadro 3 Pmá" xf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adro 8-Los Santos'!A1"/><Relationship Id="rId13" Type="http://schemas.openxmlformats.org/officeDocument/2006/relationships/hyperlink" Target="#'Cuadro 13  2019'!A1"/><Relationship Id="rId18" Type="http://schemas.openxmlformats.org/officeDocument/2006/relationships/hyperlink" Target="#'Cuadro 17  2023'!A1"/><Relationship Id="rId3" Type="http://schemas.openxmlformats.org/officeDocument/2006/relationships/hyperlink" Target="#'Cuadro 3-Cocl&#233;'!A1"/><Relationship Id="rId7" Type="http://schemas.openxmlformats.org/officeDocument/2006/relationships/hyperlink" Target="#'Cuadro 7-Herrera'!A1"/><Relationship Id="rId12" Type="http://schemas.openxmlformats.org/officeDocument/2006/relationships/hyperlink" Target="#'Cuadro 12  2018'!A1"/><Relationship Id="rId17" Type="http://schemas.openxmlformats.org/officeDocument/2006/relationships/hyperlink" Target="#'Cuadro 19-PIB-Corriente 2018-24'!A1"/><Relationship Id="rId2" Type="http://schemas.openxmlformats.org/officeDocument/2006/relationships/hyperlink" Target="#'Cuadro 2-Bocas del Toro'!A1"/><Relationship Id="rId16" Type="http://schemas.openxmlformats.org/officeDocument/2006/relationships/hyperlink" Target="#'Cuadro 16  2022'!A1"/><Relationship Id="rId1" Type="http://schemas.openxmlformats.org/officeDocument/2006/relationships/hyperlink" Target="#'Cuadro 1'!A1"/><Relationship Id="rId6" Type="http://schemas.openxmlformats.org/officeDocument/2006/relationships/hyperlink" Target="#'Cuadro 6-Dari&#233;n'!A1"/><Relationship Id="rId11" Type="http://schemas.openxmlformats.org/officeDocument/2006/relationships/hyperlink" Target="#'Cuadro 11-Veraguas'!A1"/><Relationship Id="rId5" Type="http://schemas.openxmlformats.org/officeDocument/2006/relationships/hyperlink" Target="#'Cuadro 5-Chiriqu&#237;'!A1"/><Relationship Id="rId15" Type="http://schemas.openxmlformats.org/officeDocument/2006/relationships/hyperlink" Target="#'Cuadro 15  2021'!A1"/><Relationship Id="rId10" Type="http://schemas.openxmlformats.org/officeDocument/2006/relationships/hyperlink" Target="#'Cuadro 10-Panam&#225; Oeste'!A1"/><Relationship Id="rId19" Type="http://schemas.openxmlformats.org/officeDocument/2006/relationships/hyperlink" Target="#'Cuadro 18  2024'!A1"/><Relationship Id="rId4" Type="http://schemas.openxmlformats.org/officeDocument/2006/relationships/hyperlink" Target="#'Cuadro 4-Col&#243;n'!A1"/><Relationship Id="rId9" Type="http://schemas.openxmlformats.org/officeDocument/2006/relationships/hyperlink" Target="#'Cuadro 9-Panam&#225;'!A1"/><Relationship Id="rId14" Type="http://schemas.openxmlformats.org/officeDocument/2006/relationships/hyperlink" Target="#'Cuadro 14  2020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251388</xdr:colOff>
      <xdr:row>9</xdr:row>
      <xdr:rowOff>24155</xdr:rowOff>
    </xdr:from>
    <xdr:to>
      <xdr:col>1</xdr:col>
      <xdr:colOff>1043388</xdr:colOff>
      <xdr:row>9</xdr:row>
      <xdr:rowOff>350386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SpPr>
          <a:spLocks/>
        </xdr:cNvSpPr>
      </xdr:nvSpPr>
      <xdr:spPr>
        <a:xfrm>
          <a:off x="479988" y="2653055"/>
          <a:ext cx="792000" cy="32623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</a:t>
          </a:r>
        </a:p>
      </xdr:txBody>
    </xdr:sp>
    <xdr:clientData/>
  </xdr:twoCellAnchor>
  <xdr:twoCellAnchor editAs="absolute">
    <xdr:from>
      <xdr:col>1</xdr:col>
      <xdr:colOff>258533</xdr:colOff>
      <xdr:row>11</xdr:row>
      <xdr:rowOff>26536</xdr:rowOff>
    </xdr:from>
    <xdr:to>
      <xdr:col>1</xdr:col>
      <xdr:colOff>1050533</xdr:colOff>
      <xdr:row>11</xdr:row>
      <xdr:rowOff>352767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>
          <a:spLocks/>
        </xdr:cNvSpPr>
      </xdr:nvSpPr>
      <xdr:spPr>
        <a:xfrm>
          <a:off x="487133" y="3436486"/>
          <a:ext cx="792000" cy="32623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</a:t>
          </a:r>
        </a:p>
      </xdr:txBody>
    </xdr:sp>
    <xdr:clientData/>
  </xdr:twoCellAnchor>
  <xdr:twoCellAnchor>
    <xdr:from>
      <xdr:col>1</xdr:col>
      <xdr:colOff>258533</xdr:colOff>
      <xdr:row>12</xdr:row>
      <xdr:rowOff>49667</xdr:rowOff>
    </xdr:from>
    <xdr:to>
      <xdr:col>1</xdr:col>
      <xdr:colOff>1050533</xdr:colOff>
      <xdr:row>12</xdr:row>
      <xdr:rowOff>378279</xdr:rowOff>
    </xdr:to>
    <xdr:sp macro="" textlink="">
      <xdr:nvSpPr>
        <xdr:cNvPr id="5" name="Rectángulo redondead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SpPr>
          <a:spLocks/>
        </xdr:cNvSpPr>
      </xdr:nvSpPr>
      <xdr:spPr>
        <a:xfrm>
          <a:off x="484752" y="3800136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</a:t>
          </a:r>
        </a:p>
      </xdr:txBody>
    </xdr:sp>
    <xdr:clientData/>
  </xdr:twoCellAnchor>
  <xdr:twoCellAnchor>
    <xdr:from>
      <xdr:col>1</xdr:col>
      <xdr:colOff>258533</xdr:colOff>
      <xdr:row>13</xdr:row>
      <xdr:rowOff>48988</xdr:rowOff>
    </xdr:from>
    <xdr:to>
      <xdr:col>1</xdr:col>
      <xdr:colOff>1050533</xdr:colOff>
      <xdr:row>13</xdr:row>
      <xdr:rowOff>377601</xdr:rowOff>
    </xdr:to>
    <xdr:sp macro="" textlink="">
      <xdr:nvSpPr>
        <xdr:cNvPr id="6" name="Rectángulo redondead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>
          <a:spLocks/>
        </xdr:cNvSpPr>
      </xdr:nvSpPr>
      <xdr:spPr>
        <a:xfrm>
          <a:off x="484752" y="4204269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4</a:t>
          </a:r>
        </a:p>
      </xdr:txBody>
    </xdr:sp>
    <xdr:clientData/>
  </xdr:twoCellAnchor>
  <xdr:twoCellAnchor editAs="absolute">
    <xdr:from>
      <xdr:col>1</xdr:col>
      <xdr:colOff>264317</xdr:colOff>
      <xdr:row>14</xdr:row>
      <xdr:rowOff>80288</xdr:rowOff>
    </xdr:from>
    <xdr:to>
      <xdr:col>1</xdr:col>
      <xdr:colOff>1056317</xdr:colOff>
      <xdr:row>15</xdr:row>
      <xdr:rowOff>8849</xdr:rowOff>
    </xdr:to>
    <xdr:sp macro="" textlink="">
      <xdr:nvSpPr>
        <xdr:cNvPr id="7" name="Rectángulo redondead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>
          <a:spLocks/>
        </xdr:cNvSpPr>
      </xdr:nvSpPr>
      <xdr:spPr>
        <a:xfrm>
          <a:off x="492917" y="4680863"/>
          <a:ext cx="792000" cy="32861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5</a:t>
          </a:r>
        </a:p>
      </xdr:txBody>
    </xdr:sp>
    <xdr:clientData/>
  </xdr:twoCellAnchor>
  <xdr:twoCellAnchor editAs="absolute">
    <xdr:from>
      <xdr:col>1</xdr:col>
      <xdr:colOff>252411</xdr:colOff>
      <xdr:row>15</xdr:row>
      <xdr:rowOff>63617</xdr:rowOff>
    </xdr:from>
    <xdr:to>
      <xdr:col>1</xdr:col>
      <xdr:colOff>1044411</xdr:colOff>
      <xdr:row>15</xdr:row>
      <xdr:rowOff>392231</xdr:rowOff>
    </xdr:to>
    <xdr:sp macro="" textlink="">
      <xdr:nvSpPr>
        <xdr:cNvPr id="8" name="Rectángulo redondead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SpPr>
          <a:spLocks/>
        </xdr:cNvSpPr>
      </xdr:nvSpPr>
      <xdr:spPr>
        <a:xfrm>
          <a:off x="481011" y="5064242"/>
          <a:ext cx="792000" cy="32861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6</a:t>
          </a:r>
        </a:p>
      </xdr:txBody>
    </xdr:sp>
    <xdr:clientData/>
  </xdr:twoCellAnchor>
  <xdr:twoCellAnchor editAs="absolute">
    <xdr:from>
      <xdr:col>1</xdr:col>
      <xdr:colOff>273843</xdr:colOff>
      <xdr:row>16</xdr:row>
      <xdr:rowOff>37429</xdr:rowOff>
    </xdr:from>
    <xdr:to>
      <xdr:col>1</xdr:col>
      <xdr:colOff>1065843</xdr:colOff>
      <xdr:row>16</xdr:row>
      <xdr:rowOff>366041</xdr:rowOff>
    </xdr:to>
    <xdr:sp macro="" textlink="">
      <xdr:nvSpPr>
        <xdr:cNvPr id="9" name="Rectángulo redondead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SpPr>
          <a:spLocks/>
        </xdr:cNvSpPr>
      </xdr:nvSpPr>
      <xdr:spPr>
        <a:xfrm>
          <a:off x="502443" y="5438104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7</a:t>
          </a:r>
        </a:p>
      </xdr:txBody>
    </xdr:sp>
    <xdr:clientData/>
  </xdr:twoCellAnchor>
  <xdr:twoCellAnchor editAs="absolute">
    <xdr:from>
      <xdr:col>1</xdr:col>
      <xdr:colOff>273843</xdr:colOff>
      <xdr:row>17</xdr:row>
      <xdr:rowOff>37427</xdr:rowOff>
    </xdr:from>
    <xdr:to>
      <xdr:col>1</xdr:col>
      <xdr:colOff>1065843</xdr:colOff>
      <xdr:row>17</xdr:row>
      <xdr:rowOff>366040</xdr:rowOff>
    </xdr:to>
    <xdr:sp macro="" textlink="">
      <xdr:nvSpPr>
        <xdr:cNvPr id="10" name="Rectángulo redondead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>
          <a:spLocks/>
        </xdr:cNvSpPr>
      </xdr:nvSpPr>
      <xdr:spPr>
        <a:xfrm>
          <a:off x="502443" y="5838152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8</a:t>
          </a:r>
        </a:p>
      </xdr:txBody>
    </xdr:sp>
    <xdr:clientData/>
  </xdr:twoCellAnchor>
  <xdr:twoCellAnchor editAs="absolute">
    <xdr:from>
      <xdr:col>1</xdr:col>
      <xdr:colOff>269080</xdr:colOff>
      <xdr:row>18</xdr:row>
      <xdr:rowOff>23140</xdr:rowOff>
    </xdr:from>
    <xdr:to>
      <xdr:col>1</xdr:col>
      <xdr:colOff>1061080</xdr:colOff>
      <xdr:row>18</xdr:row>
      <xdr:rowOff>351752</xdr:rowOff>
    </xdr:to>
    <xdr:sp macro="" textlink="">
      <xdr:nvSpPr>
        <xdr:cNvPr id="11" name="Rectángulo redondead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>
          <a:spLocks/>
        </xdr:cNvSpPr>
      </xdr:nvSpPr>
      <xdr:spPr>
        <a:xfrm>
          <a:off x="497680" y="6223915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9</a:t>
          </a:r>
        </a:p>
      </xdr:txBody>
    </xdr:sp>
    <xdr:clientData/>
  </xdr:twoCellAnchor>
  <xdr:twoCellAnchor editAs="absolute">
    <xdr:from>
      <xdr:col>1</xdr:col>
      <xdr:colOff>288130</xdr:colOff>
      <xdr:row>19</xdr:row>
      <xdr:rowOff>8850</xdr:rowOff>
    </xdr:from>
    <xdr:to>
      <xdr:col>1</xdr:col>
      <xdr:colOff>1080130</xdr:colOff>
      <xdr:row>19</xdr:row>
      <xdr:rowOff>332701</xdr:rowOff>
    </xdr:to>
    <xdr:sp macro="" textlink="">
      <xdr:nvSpPr>
        <xdr:cNvPr id="12" name="Rectángulo redondead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>
          <a:spLocks/>
        </xdr:cNvSpPr>
      </xdr:nvSpPr>
      <xdr:spPr>
        <a:xfrm>
          <a:off x="516730" y="6609675"/>
          <a:ext cx="792000" cy="32385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10</a:t>
          </a:r>
        </a:p>
      </xdr:txBody>
    </xdr:sp>
    <xdr:clientData/>
  </xdr:twoCellAnchor>
  <xdr:twoCellAnchor editAs="absolute">
    <xdr:from>
      <xdr:col>1</xdr:col>
      <xdr:colOff>269081</xdr:colOff>
      <xdr:row>20</xdr:row>
      <xdr:rowOff>30281</xdr:rowOff>
    </xdr:from>
    <xdr:to>
      <xdr:col>1</xdr:col>
      <xdr:colOff>1061081</xdr:colOff>
      <xdr:row>20</xdr:row>
      <xdr:rowOff>362068</xdr:rowOff>
    </xdr:to>
    <xdr:sp macro="" textlink="">
      <xdr:nvSpPr>
        <xdr:cNvPr id="13" name="Rectángulo redondeado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SpPr>
          <a:spLocks/>
        </xdr:cNvSpPr>
      </xdr:nvSpPr>
      <xdr:spPr>
        <a:xfrm>
          <a:off x="497681" y="7031156"/>
          <a:ext cx="792000" cy="331787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11</a:t>
          </a:r>
        </a:p>
      </xdr:txBody>
    </xdr:sp>
    <xdr:clientData/>
  </xdr:twoCellAnchor>
  <xdr:twoCellAnchor editAs="absolute">
    <xdr:from>
      <xdr:col>1</xdr:col>
      <xdr:colOff>300036</xdr:colOff>
      <xdr:row>22</xdr:row>
      <xdr:rowOff>42196</xdr:rowOff>
    </xdr:from>
    <xdr:to>
      <xdr:col>1</xdr:col>
      <xdr:colOff>1092036</xdr:colOff>
      <xdr:row>22</xdr:row>
      <xdr:rowOff>370808</xdr:rowOff>
    </xdr:to>
    <xdr:sp macro="" textlink="">
      <xdr:nvSpPr>
        <xdr:cNvPr id="14" name="Rectángulo redondeado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SpPr>
          <a:spLocks/>
        </xdr:cNvSpPr>
      </xdr:nvSpPr>
      <xdr:spPr>
        <a:xfrm>
          <a:off x="528636" y="7843171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12</a:t>
          </a:r>
        </a:p>
      </xdr:txBody>
    </xdr:sp>
    <xdr:clientData/>
  </xdr:twoCellAnchor>
  <xdr:twoCellAnchor editAs="absolute">
    <xdr:from>
      <xdr:col>1</xdr:col>
      <xdr:colOff>300035</xdr:colOff>
      <xdr:row>23</xdr:row>
      <xdr:rowOff>25522</xdr:rowOff>
    </xdr:from>
    <xdr:to>
      <xdr:col>1</xdr:col>
      <xdr:colOff>1092035</xdr:colOff>
      <xdr:row>23</xdr:row>
      <xdr:rowOff>354135</xdr:rowOff>
    </xdr:to>
    <xdr:sp macro="" textlink="">
      <xdr:nvSpPr>
        <xdr:cNvPr id="15" name="Rectángulo redondeado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>
          <a:spLocks/>
        </xdr:cNvSpPr>
      </xdr:nvSpPr>
      <xdr:spPr>
        <a:xfrm>
          <a:off x="528635" y="8226547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13</a:t>
          </a:r>
        </a:p>
      </xdr:txBody>
    </xdr:sp>
    <xdr:clientData/>
  </xdr:twoCellAnchor>
  <xdr:twoCellAnchor editAs="absolute">
    <xdr:from>
      <xdr:col>1</xdr:col>
      <xdr:colOff>314322</xdr:colOff>
      <xdr:row>24</xdr:row>
      <xdr:rowOff>35729</xdr:rowOff>
    </xdr:from>
    <xdr:to>
      <xdr:col>1</xdr:col>
      <xdr:colOff>1105131</xdr:colOff>
      <xdr:row>24</xdr:row>
      <xdr:rowOff>364342</xdr:rowOff>
    </xdr:to>
    <xdr:sp macro="" textlink="">
      <xdr:nvSpPr>
        <xdr:cNvPr id="16" name="Rectángulo redondeado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>
          <a:spLocks/>
        </xdr:cNvSpPr>
      </xdr:nvSpPr>
      <xdr:spPr>
        <a:xfrm>
          <a:off x="542922" y="8636804"/>
          <a:ext cx="790809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14</a:t>
          </a:r>
        </a:p>
      </xdr:txBody>
    </xdr:sp>
    <xdr:clientData/>
  </xdr:twoCellAnchor>
  <xdr:twoCellAnchor editAs="absolute">
    <xdr:from>
      <xdr:col>1</xdr:col>
      <xdr:colOff>292211</xdr:colOff>
      <xdr:row>25</xdr:row>
      <xdr:rowOff>32662</xdr:rowOff>
    </xdr:from>
    <xdr:to>
      <xdr:col>1</xdr:col>
      <xdr:colOff>1083020</xdr:colOff>
      <xdr:row>25</xdr:row>
      <xdr:rowOff>361275</xdr:rowOff>
    </xdr:to>
    <xdr:sp macro="" textlink="">
      <xdr:nvSpPr>
        <xdr:cNvPr id="17" name="Rectángulo redondead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1500-000011000000}"/>
            </a:ext>
          </a:extLst>
        </xdr:cNvPr>
        <xdr:cNvSpPr>
          <a:spLocks/>
        </xdr:cNvSpPr>
      </xdr:nvSpPr>
      <xdr:spPr>
        <a:xfrm>
          <a:off x="520811" y="9033787"/>
          <a:ext cx="790809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</a:t>
          </a:r>
          <a:r>
            <a:rPr lang="es-PA" sz="1100">
              <a:solidFill>
                <a:sysClr val="windowText" lastClr="000000"/>
              </a:solidFill>
            </a:rPr>
            <a:t> 15</a:t>
          </a:r>
        </a:p>
      </xdr:txBody>
    </xdr:sp>
    <xdr:clientData/>
  </xdr:twoCellAnchor>
  <xdr:twoCellAnchor editAs="absolute">
    <xdr:from>
      <xdr:col>1</xdr:col>
      <xdr:colOff>304117</xdr:colOff>
      <xdr:row>26</xdr:row>
      <xdr:rowOff>27901</xdr:rowOff>
    </xdr:from>
    <xdr:to>
      <xdr:col>1</xdr:col>
      <xdr:colOff>1094926</xdr:colOff>
      <xdr:row>26</xdr:row>
      <xdr:rowOff>356513</xdr:rowOff>
    </xdr:to>
    <xdr:sp macro="" textlink="">
      <xdr:nvSpPr>
        <xdr:cNvPr id="18" name="Rectángulo redondead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1500-000012000000}"/>
            </a:ext>
          </a:extLst>
        </xdr:cNvPr>
        <xdr:cNvSpPr>
          <a:spLocks/>
        </xdr:cNvSpPr>
      </xdr:nvSpPr>
      <xdr:spPr>
        <a:xfrm>
          <a:off x="532717" y="9429076"/>
          <a:ext cx="790809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16</a:t>
          </a:r>
        </a:p>
      </xdr:txBody>
    </xdr:sp>
    <xdr:clientData/>
  </xdr:twoCellAnchor>
  <xdr:twoCellAnchor editAs="absolute">
    <xdr:from>
      <xdr:col>1</xdr:col>
      <xdr:colOff>313983</xdr:colOff>
      <xdr:row>31</xdr:row>
      <xdr:rowOff>1715</xdr:rowOff>
    </xdr:from>
    <xdr:to>
      <xdr:col>1</xdr:col>
      <xdr:colOff>1104792</xdr:colOff>
      <xdr:row>31</xdr:row>
      <xdr:rowOff>330328</xdr:rowOff>
    </xdr:to>
    <xdr:sp macro="" textlink="">
      <xdr:nvSpPr>
        <xdr:cNvPr id="19" name="Rectángulo redondead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1500-000013000000}"/>
            </a:ext>
          </a:extLst>
        </xdr:cNvPr>
        <xdr:cNvSpPr>
          <a:spLocks/>
        </xdr:cNvSpPr>
      </xdr:nvSpPr>
      <xdr:spPr>
        <a:xfrm>
          <a:off x="542583" y="11403140"/>
          <a:ext cx="790809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19</a:t>
          </a:r>
        </a:p>
      </xdr:txBody>
    </xdr:sp>
    <xdr:clientData/>
  </xdr:twoCellAnchor>
  <xdr:twoCellAnchor editAs="absolute">
    <xdr:from>
      <xdr:col>1</xdr:col>
      <xdr:colOff>297657</xdr:colOff>
      <xdr:row>27</xdr:row>
      <xdr:rowOff>50006</xdr:rowOff>
    </xdr:from>
    <xdr:to>
      <xdr:col>1</xdr:col>
      <xdr:colOff>1089657</xdr:colOff>
      <xdr:row>27</xdr:row>
      <xdr:rowOff>386556</xdr:rowOff>
    </xdr:to>
    <xdr:sp macro="" textlink="">
      <xdr:nvSpPr>
        <xdr:cNvPr id="21" name="Rectángulo redondeado 2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SpPr>
          <a:spLocks/>
        </xdr:cNvSpPr>
      </xdr:nvSpPr>
      <xdr:spPr>
        <a:xfrm>
          <a:off x="526257" y="9851231"/>
          <a:ext cx="792000" cy="3365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17</a:t>
          </a:r>
        </a:p>
      </xdr:txBody>
    </xdr:sp>
    <xdr:clientData/>
  </xdr:twoCellAnchor>
  <xdr:twoCellAnchor editAs="absolute">
    <xdr:from>
      <xdr:col>1</xdr:col>
      <xdr:colOff>295275</xdr:colOff>
      <xdr:row>28</xdr:row>
      <xdr:rowOff>57150</xdr:rowOff>
    </xdr:from>
    <xdr:to>
      <xdr:col>1</xdr:col>
      <xdr:colOff>1087275</xdr:colOff>
      <xdr:row>28</xdr:row>
      <xdr:rowOff>393700</xdr:rowOff>
    </xdr:to>
    <xdr:sp macro="" textlink="">
      <xdr:nvSpPr>
        <xdr:cNvPr id="20" name="Rectángulo redondeado 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SpPr>
          <a:spLocks/>
        </xdr:cNvSpPr>
      </xdr:nvSpPr>
      <xdr:spPr>
        <a:xfrm>
          <a:off x="523875" y="10258425"/>
          <a:ext cx="792000" cy="3365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18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14</xdr:col>
      <xdr:colOff>0</xdr:colOff>
      <xdr:row>41</xdr:row>
      <xdr:rowOff>111125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0620375" cy="787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38554</xdr:rowOff>
    </xdr:from>
    <xdr:to>
      <xdr:col>13</xdr:col>
      <xdr:colOff>721179</xdr:colOff>
      <xdr:row>54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38554"/>
          <a:ext cx="10586358" cy="102484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3</xdr:row>
      <xdr:rowOff>0</xdr:rowOff>
    </xdr:from>
    <xdr:to>
      <xdr:col>6</xdr:col>
      <xdr:colOff>576150</xdr:colOff>
      <xdr:row>5</xdr:row>
      <xdr:rowOff>26625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9058275" y="64770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63500</xdr:rowOff>
    </xdr:from>
    <xdr:to>
      <xdr:col>13</xdr:col>
      <xdr:colOff>746125</xdr:colOff>
      <xdr:row>42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3500"/>
          <a:ext cx="10604500" cy="793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13</xdr:col>
      <xdr:colOff>698500</xdr:colOff>
      <xdr:row>52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5"/>
          <a:ext cx="10604500" cy="1003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746125</xdr:colOff>
      <xdr:row>40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125" cy="777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47625</xdr:rowOff>
    </xdr:from>
    <xdr:to>
      <xdr:col>13</xdr:col>
      <xdr:colOff>730250</xdr:colOff>
      <xdr:row>41</xdr:row>
      <xdr:rowOff>174625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7625"/>
          <a:ext cx="10604500" cy="7937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31750</xdr:rowOff>
    </xdr:from>
    <xdr:to>
      <xdr:col>13</xdr:col>
      <xdr:colOff>714374</xdr:colOff>
      <xdr:row>52</xdr:row>
      <xdr:rowOff>184150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750"/>
          <a:ext cx="10572749" cy="10058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13</xdr:col>
      <xdr:colOff>730250</xdr:colOff>
      <xdr:row>40</xdr:row>
      <xdr:rowOff>184150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1750"/>
          <a:ext cx="10572750" cy="7772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13</xdr:col>
      <xdr:colOff>730250</xdr:colOff>
      <xdr:row>40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10607675" cy="7772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746125</xdr:colOff>
      <xdr:row>40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125" cy="777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B1:E36"/>
  <sheetViews>
    <sheetView tabSelected="1" zoomScaleNormal="100" zoomScaleSheetLayoutView="50" workbookViewId="0"/>
  </sheetViews>
  <sheetFormatPr baseColWidth="10" defaultRowHeight="14.25"/>
  <cols>
    <col min="1" max="1" width="3.42578125" style="150" customWidth="1"/>
    <col min="2" max="2" width="18.140625" style="151" customWidth="1"/>
    <col min="3" max="3" width="147.42578125" style="150" customWidth="1"/>
    <col min="4" max="256" width="11.42578125" style="150"/>
    <col min="257" max="257" width="3.42578125" style="150" customWidth="1"/>
    <col min="258" max="258" width="18.140625" style="150" customWidth="1"/>
    <col min="259" max="259" width="147.42578125" style="150" customWidth="1"/>
    <col min="260" max="512" width="11.42578125" style="150"/>
    <col min="513" max="513" width="3.42578125" style="150" customWidth="1"/>
    <col min="514" max="514" width="18.140625" style="150" customWidth="1"/>
    <col min="515" max="515" width="147.42578125" style="150" customWidth="1"/>
    <col min="516" max="768" width="11.42578125" style="150"/>
    <col min="769" max="769" width="3.42578125" style="150" customWidth="1"/>
    <col min="770" max="770" width="18.140625" style="150" customWidth="1"/>
    <col min="771" max="771" width="147.42578125" style="150" customWidth="1"/>
    <col min="772" max="1024" width="11.42578125" style="150"/>
    <col min="1025" max="1025" width="3.42578125" style="150" customWidth="1"/>
    <col min="1026" max="1026" width="18.140625" style="150" customWidth="1"/>
    <col min="1027" max="1027" width="147.42578125" style="150" customWidth="1"/>
    <col min="1028" max="1280" width="11.42578125" style="150"/>
    <col min="1281" max="1281" width="3.42578125" style="150" customWidth="1"/>
    <col min="1282" max="1282" width="18.140625" style="150" customWidth="1"/>
    <col min="1283" max="1283" width="147.42578125" style="150" customWidth="1"/>
    <col min="1284" max="1536" width="11.42578125" style="150"/>
    <col min="1537" max="1537" width="3.42578125" style="150" customWidth="1"/>
    <col min="1538" max="1538" width="18.140625" style="150" customWidth="1"/>
    <col min="1539" max="1539" width="147.42578125" style="150" customWidth="1"/>
    <col min="1540" max="1792" width="11.42578125" style="150"/>
    <col min="1793" max="1793" width="3.42578125" style="150" customWidth="1"/>
    <col min="1794" max="1794" width="18.140625" style="150" customWidth="1"/>
    <col min="1795" max="1795" width="147.42578125" style="150" customWidth="1"/>
    <col min="1796" max="2048" width="11.42578125" style="150"/>
    <col min="2049" max="2049" width="3.42578125" style="150" customWidth="1"/>
    <col min="2050" max="2050" width="18.140625" style="150" customWidth="1"/>
    <col min="2051" max="2051" width="147.42578125" style="150" customWidth="1"/>
    <col min="2052" max="2304" width="11.42578125" style="150"/>
    <col min="2305" max="2305" width="3.42578125" style="150" customWidth="1"/>
    <col min="2306" max="2306" width="18.140625" style="150" customWidth="1"/>
    <col min="2307" max="2307" width="147.42578125" style="150" customWidth="1"/>
    <col min="2308" max="2560" width="11.42578125" style="150"/>
    <col min="2561" max="2561" width="3.42578125" style="150" customWidth="1"/>
    <col min="2562" max="2562" width="18.140625" style="150" customWidth="1"/>
    <col min="2563" max="2563" width="147.42578125" style="150" customWidth="1"/>
    <col min="2564" max="2816" width="11.42578125" style="150"/>
    <col min="2817" max="2817" width="3.42578125" style="150" customWidth="1"/>
    <col min="2818" max="2818" width="18.140625" style="150" customWidth="1"/>
    <col min="2819" max="2819" width="147.42578125" style="150" customWidth="1"/>
    <col min="2820" max="3072" width="11.42578125" style="150"/>
    <col min="3073" max="3073" width="3.42578125" style="150" customWidth="1"/>
    <col min="3074" max="3074" width="18.140625" style="150" customWidth="1"/>
    <col min="3075" max="3075" width="147.42578125" style="150" customWidth="1"/>
    <col min="3076" max="3328" width="11.42578125" style="150"/>
    <col min="3329" max="3329" width="3.42578125" style="150" customWidth="1"/>
    <col min="3330" max="3330" width="18.140625" style="150" customWidth="1"/>
    <col min="3331" max="3331" width="147.42578125" style="150" customWidth="1"/>
    <col min="3332" max="3584" width="11.42578125" style="150"/>
    <col min="3585" max="3585" width="3.42578125" style="150" customWidth="1"/>
    <col min="3586" max="3586" width="18.140625" style="150" customWidth="1"/>
    <col min="3587" max="3587" width="147.42578125" style="150" customWidth="1"/>
    <col min="3588" max="3840" width="11.42578125" style="150"/>
    <col min="3841" max="3841" width="3.42578125" style="150" customWidth="1"/>
    <col min="3842" max="3842" width="18.140625" style="150" customWidth="1"/>
    <col min="3843" max="3843" width="147.42578125" style="150" customWidth="1"/>
    <col min="3844" max="4096" width="11.42578125" style="150"/>
    <col min="4097" max="4097" width="3.42578125" style="150" customWidth="1"/>
    <col min="4098" max="4098" width="18.140625" style="150" customWidth="1"/>
    <col min="4099" max="4099" width="147.42578125" style="150" customWidth="1"/>
    <col min="4100" max="4352" width="11.42578125" style="150"/>
    <col min="4353" max="4353" width="3.42578125" style="150" customWidth="1"/>
    <col min="4354" max="4354" width="18.140625" style="150" customWidth="1"/>
    <col min="4355" max="4355" width="147.42578125" style="150" customWidth="1"/>
    <col min="4356" max="4608" width="11.42578125" style="150"/>
    <col min="4609" max="4609" width="3.42578125" style="150" customWidth="1"/>
    <col min="4610" max="4610" width="18.140625" style="150" customWidth="1"/>
    <col min="4611" max="4611" width="147.42578125" style="150" customWidth="1"/>
    <col min="4612" max="4864" width="11.42578125" style="150"/>
    <col min="4865" max="4865" width="3.42578125" style="150" customWidth="1"/>
    <col min="4866" max="4866" width="18.140625" style="150" customWidth="1"/>
    <col min="4867" max="4867" width="147.42578125" style="150" customWidth="1"/>
    <col min="4868" max="5120" width="11.42578125" style="150"/>
    <col min="5121" max="5121" width="3.42578125" style="150" customWidth="1"/>
    <col min="5122" max="5122" width="18.140625" style="150" customWidth="1"/>
    <col min="5123" max="5123" width="147.42578125" style="150" customWidth="1"/>
    <col min="5124" max="5376" width="11.42578125" style="150"/>
    <col min="5377" max="5377" width="3.42578125" style="150" customWidth="1"/>
    <col min="5378" max="5378" width="18.140625" style="150" customWidth="1"/>
    <col min="5379" max="5379" width="147.42578125" style="150" customWidth="1"/>
    <col min="5380" max="5632" width="11.42578125" style="150"/>
    <col min="5633" max="5633" width="3.42578125" style="150" customWidth="1"/>
    <col min="5634" max="5634" width="18.140625" style="150" customWidth="1"/>
    <col min="5635" max="5635" width="147.42578125" style="150" customWidth="1"/>
    <col min="5636" max="5888" width="11.42578125" style="150"/>
    <col min="5889" max="5889" width="3.42578125" style="150" customWidth="1"/>
    <col min="5890" max="5890" width="18.140625" style="150" customWidth="1"/>
    <col min="5891" max="5891" width="147.42578125" style="150" customWidth="1"/>
    <col min="5892" max="6144" width="11.42578125" style="150"/>
    <col min="6145" max="6145" width="3.42578125" style="150" customWidth="1"/>
    <col min="6146" max="6146" width="18.140625" style="150" customWidth="1"/>
    <col min="6147" max="6147" width="147.42578125" style="150" customWidth="1"/>
    <col min="6148" max="6400" width="11.42578125" style="150"/>
    <col min="6401" max="6401" width="3.42578125" style="150" customWidth="1"/>
    <col min="6402" max="6402" width="18.140625" style="150" customWidth="1"/>
    <col min="6403" max="6403" width="147.42578125" style="150" customWidth="1"/>
    <col min="6404" max="6656" width="11.42578125" style="150"/>
    <col min="6657" max="6657" width="3.42578125" style="150" customWidth="1"/>
    <col min="6658" max="6658" width="18.140625" style="150" customWidth="1"/>
    <col min="6659" max="6659" width="147.42578125" style="150" customWidth="1"/>
    <col min="6660" max="6912" width="11.42578125" style="150"/>
    <col min="6913" max="6913" width="3.42578125" style="150" customWidth="1"/>
    <col min="6914" max="6914" width="18.140625" style="150" customWidth="1"/>
    <col min="6915" max="6915" width="147.42578125" style="150" customWidth="1"/>
    <col min="6916" max="7168" width="11.42578125" style="150"/>
    <col min="7169" max="7169" width="3.42578125" style="150" customWidth="1"/>
    <col min="7170" max="7170" width="18.140625" style="150" customWidth="1"/>
    <col min="7171" max="7171" width="147.42578125" style="150" customWidth="1"/>
    <col min="7172" max="7424" width="11.42578125" style="150"/>
    <col min="7425" max="7425" width="3.42578125" style="150" customWidth="1"/>
    <col min="7426" max="7426" width="18.140625" style="150" customWidth="1"/>
    <col min="7427" max="7427" width="147.42578125" style="150" customWidth="1"/>
    <col min="7428" max="7680" width="11.42578125" style="150"/>
    <col min="7681" max="7681" width="3.42578125" style="150" customWidth="1"/>
    <col min="7682" max="7682" width="18.140625" style="150" customWidth="1"/>
    <col min="7683" max="7683" width="147.42578125" style="150" customWidth="1"/>
    <col min="7684" max="7936" width="11.42578125" style="150"/>
    <col min="7937" max="7937" width="3.42578125" style="150" customWidth="1"/>
    <col min="7938" max="7938" width="18.140625" style="150" customWidth="1"/>
    <col min="7939" max="7939" width="147.42578125" style="150" customWidth="1"/>
    <col min="7940" max="8192" width="11.42578125" style="150"/>
    <col min="8193" max="8193" width="3.42578125" style="150" customWidth="1"/>
    <col min="8194" max="8194" width="18.140625" style="150" customWidth="1"/>
    <col min="8195" max="8195" width="147.42578125" style="150" customWidth="1"/>
    <col min="8196" max="8448" width="11.42578125" style="150"/>
    <col min="8449" max="8449" width="3.42578125" style="150" customWidth="1"/>
    <col min="8450" max="8450" width="18.140625" style="150" customWidth="1"/>
    <col min="8451" max="8451" width="147.42578125" style="150" customWidth="1"/>
    <col min="8452" max="8704" width="11.42578125" style="150"/>
    <col min="8705" max="8705" width="3.42578125" style="150" customWidth="1"/>
    <col min="8706" max="8706" width="18.140625" style="150" customWidth="1"/>
    <col min="8707" max="8707" width="147.42578125" style="150" customWidth="1"/>
    <col min="8708" max="8960" width="11.42578125" style="150"/>
    <col min="8961" max="8961" width="3.42578125" style="150" customWidth="1"/>
    <col min="8962" max="8962" width="18.140625" style="150" customWidth="1"/>
    <col min="8963" max="8963" width="147.42578125" style="150" customWidth="1"/>
    <col min="8964" max="9216" width="11.42578125" style="150"/>
    <col min="9217" max="9217" width="3.42578125" style="150" customWidth="1"/>
    <col min="9218" max="9218" width="18.140625" style="150" customWidth="1"/>
    <col min="9219" max="9219" width="147.42578125" style="150" customWidth="1"/>
    <col min="9220" max="9472" width="11.42578125" style="150"/>
    <col min="9473" max="9473" width="3.42578125" style="150" customWidth="1"/>
    <col min="9474" max="9474" width="18.140625" style="150" customWidth="1"/>
    <col min="9475" max="9475" width="147.42578125" style="150" customWidth="1"/>
    <col min="9476" max="9728" width="11.42578125" style="150"/>
    <col min="9729" max="9729" width="3.42578125" style="150" customWidth="1"/>
    <col min="9730" max="9730" width="18.140625" style="150" customWidth="1"/>
    <col min="9731" max="9731" width="147.42578125" style="150" customWidth="1"/>
    <col min="9732" max="9984" width="11.42578125" style="150"/>
    <col min="9985" max="9985" width="3.42578125" style="150" customWidth="1"/>
    <col min="9986" max="9986" width="18.140625" style="150" customWidth="1"/>
    <col min="9987" max="9987" width="147.42578125" style="150" customWidth="1"/>
    <col min="9988" max="10240" width="11.42578125" style="150"/>
    <col min="10241" max="10241" width="3.42578125" style="150" customWidth="1"/>
    <col min="10242" max="10242" width="18.140625" style="150" customWidth="1"/>
    <col min="10243" max="10243" width="147.42578125" style="150" customWidth="1"/>
    <col min="10244" max="10496" width="11.42578125" style="150"/>
    <col min="10497" max="10497" width="3.42578125" style="150" customWidth="1"/>
    <col min="10498" max="10498" width="18.140625" style="150" customWidth="1"/>
    <col min="10499" max="10499" width="147.42578125" style="150" customWidth="1"/>
    <col min="10500" max="10752" width="11.42578125" style="150"/>
    <col min="10753" max="10753" width="3.42578125" style="150" customWidth="1"/>
    <col min="10754" max="10754" width="18.140625" style="150" customWidth="1"/>
    <col min="10755" max="10755" width="147.42578125" style="150" customWidth="1"/>
    <col min="10756" max="11008" width="11.42578125" style="150"/>
    <col min="11009" max="11009" width="3.42578125" style="150" customWidth="1"/>
    <col min="11010" max="11010" width="18.140625" style="150" customWidth="1"/>
    <col min="11011" max="11011" width="147.42578125" style="150" customWidth="1"/>
    <col min="11012" max="11264" width="11.42578125" style="150"/>
    <col min="11265" max="11265" width="3.42578125" style="150" customWidth="1"/>
    <col min="11266" max="11266" width="18.140625" style="150" customWidth="1"/>
    <col min="11267" max="11267" width="147.42578125" style="150" customWidth="1"/>
    <col min="11268" max="11520" width="11.42578125" style="150"/>
    <col min="11521" max="11521" width="3.42578125" style="150" customWidth="1"/>
    <col min="11522" max="11522" width="18.140625" style="150" customWidth="1"/>
    <col min="11523" max="11523" width="147.42578125" style="150" customWidth="1"/>
    <col min="11524" max="11776" width="11.42578125" style="150"/>
    <col min="11777" max="11777" width="3.42578125" style="150" customWidth="1"/>
    <col min="11778" max="11778" width="18.140625" style="150" customWidth="1"/>
    <col min="11779" max="11779" width="147.42578125" style="150" customWidth="1"/>
    <col min="11780" max="12032" width="11.42578125" style="150"/>
    <col min="12033" max="12033" width="3.42578125" style="150" customWidth="1"/>
    <col min="12034" max="12034" width="18.140625" style="150" customWidth="1"/>
    <col min="12035" max="12035" width="147.42578125" style="150" customWidth="1"/>
    <col min="12036" max="12288" width="11.42578125" style="150"/>
    <col min="12289" max="12289" width="3.42578125" style="150" customWidth="1"/>
    <col min="12290" max="12290" width="18.140625" style="150" customWidth="1"/>
    <col min="12291" max="12291" width="147.42578125" style="150" customWidth="1"/>
    <col min="12292" max="12544" width="11.42578125" style="150"/>
    <col min="12545" max="12545" width="3.42578125" style="150" customWidth="1"/>
    <col min="12546" max="12546" width="18.140625" style="150" customWidth="1"/>
    <col min="12547" max="12547" width="147.42578125" style="150" customWidth="1"/>
    <col min="12548" max="12800" width="11.42578125" style="150"/>
    <col min="12801" max="12801" width="3.42578125" style="150" customWidth="1"/>
    <col min="12802" max="12802" width="18.140625" style="150" customWidth="1"/>
    <col min="12803" max="12803" width="147.42578125" style="150" customWidth="1"/>
    <col min="12804" max="13056" width="11.42578125" style="150"/>
    <col min="13057" max="13057" width="3.42578125" style="150" customWidth="1"/>
    <col min="13058" max="13058" width="18.140625" style="150" customWidth="1"/>
    <col min="13059" max="13059" width="147.42578125" style="150" customWidth="1"/>
    <col min="13060" max="13312" width="11.42578125" style="150"/>
    <col min="13313" max="13313" width="3.42578125" style="150" customWidth="1"/>
    <col min="13314" max="13314" width="18.140625" style="150" customWidth="1"/>
    <col min="13315" max="13315" width="147.42578125" style="150" customWidth="1"/>
    <col min="13316" max="13568" width="11.42578125" style="150"/>
    <col min="13569" max="13569" width="3.42578125" style="150" customWidth="1"/>
    <col min="13570" max="13570" width="18.140625" style="150" customWidth="1"/>
    <col min="13571" max="13571" width="147.42578125" style="150" customWidth="1"/>
    <col min="13572" max="13824" width="11.42578125" style="150"/>
    <col min="13825" max="13825" width="3.42578125" style="150" customWidth="1"/>
    <col min="13826" max="13826" width="18.140625" style="150" customWidth="1"/>
    <col min="13827" max="13827" width="147.42578125" style="150" customWidth="1"/>
    <col min="13828" max="14080" width="11.42578125" style="150"/>
    <col min="14081" max="14081" width="3.42578125" style="150" customWidth="1"/>
    <col min="14082" max="14082" width="18.140625" style="150" customWidth="1"/>
    <col min="14083" max="14083" width="147.42578125" style="150" customWidth="1"/>
    <col min="14084" max="14336" width="11.42578125" style="150"/>
    <col min="14337" max="14337" width="3.42578125" style="150" customWidth="1"/>
    <col min="14338" max="14338" width="18.140625" style="150" customWidth="1"/>
    <col min="14339" max="14339" width="147.42578125" style="150" customWidth="1"/>
    <col min="14340" max="14592" width="11.42578125" style="150"/>
    <col min="14593" max="14593" width="3.42578125" style="150" customWidth="1"/>
    <col min="14594" max="14594" width="18.140625" style="150" customWidth="1"/>
    <col min="14595" max="14595" width="147.42578125" style="150" customWidth="1"/>
    <col min="14596" max="14848" width="11.42578125" style="150"/>
    <col min="14849" max="14849" width="3.42578125" style="150" customWidth="1"/>
    <col min="14850" max="14850" width="18.140625" style="150" customWidth="1"/>
    <col min="14851" max="14851" width="147.42578125" style="150" customWidth="1"/>
    <col min="14852" max="15104" width="11.42578125" style="150"/>
    <col min="15105" max="15105" width="3.42578125" style="150" customWidth="1"/>
    <col min="15106" max="15106" width="18.140625" style="150" customWidth="1"/>
    <col min="15107" max="15107" width="147.42578125" style="150" customWidth="1"/>
    <col min="15108" max="15360" width="11.42578125" style="150"/>
    <col min="15361" max="15361" width="3.42578125" style="150" customWidth="1"/>
    <col min="15362" max="15362" width="18.140625" style="150" customWidth="1"/>
    <col min="15363" max="15363" width="147.42578125" style="150" customWidth="1"/>
    <col min="15364" max="15616" width="11.42578125" style="150"/>
    <col min="15617" max="15617" width="3.42578125" style="150" customWidth="1"/>
    <col min="15618" max="15618" width="18.140625" style="150" customWidth="1"/>
    <col min="15619" max="15619" width="147.42578125" style="150" customWidth="1"/>
    <col min="15620" max="15872" width="11.42578125" style="150"/>
    <col min="15873" max="15873" width="3.42578125" style="150" customWidth="1"/>
    <col min="15874" max="15874" width="18.140625" style="150" customWidth="1"/>
    <col min="15875" max="15875" width="147.42578125" style="150" customWidth="1"/>
    <col min="15876" max="16128" width="11.42578125" style="150"/>
    <col min="16129" max="16129" width="3.42578125" style="150" customWidth="1"/>
    <col min="16130" max="16130" width="18.140625" style="150" customWidth="1"/>
    <col min="16131" max="16131" width="147.42578125" style="150" customWidth="1"/>
    <col min="16132" max="16384" width="11.42578125" style="150"/>
  </cols>
  <sheetData>
    <row r="1" spans="2:5" ht="11.25" customHeight="1" thickBot="1"/>
    <row r="2" spans="2:5" ht="19.5" customHeight="1" thickTop="1">
      <c r="B2" s="180" t="s">
        <v>38</v>
      </c>
      <c r="C2" s="156"/>
    </row>
    <row r="3" spans="2:5" ht="19.5" customHeight="1">
      <c r="B3" s="181" t="s">
        <v>39</v>
      </c>
      <c r="C3" s="157"/>
    </row>
    <row r="4" spans="2:5" ht="19.5" customHeight="1">
      <c r="B4" s="178" t="s">
        <v>40</v>
      </c>
      <c r="C4" s="179"/>
    </row>
    <row r="5" spans="2:5" ht="28.5" customHeight="1">
      <c r="B5" s="182" t="s">
        <v>41</v>
      </c>
      <c r="C5" s="159"/>
    </row>
    <row r="6" spans="2:5" ht="16.5" customHeight="1" thickBot="1">
      <c r="B6" s="181" t="s">
        <v>153</v>
      </c>
      <c r="C6" s="157"/>
    </row>
    <row r="7" spans="2:5" ht="39" customHeight="1" thickTop="1" thickBot="1">
      <c r="B7" s="155" t="s">
        <v>348</v>
      </c>
      <c r="C7" s="165" t="s">
        <v>43</v>
      </c>
    </row>
    <row r="8" spans="2:5" ht="26.25" customHeight="1" thickTop="1">
      <c r="B8" s="164"/>
      <c r="C8" s="166" t="s">
        <v>44</v>
      </c>
    </row>
    <row r="9" spans="2:5" ht="27" customHeight="1">
      <c r="B9" s="160"/>
      <c r="C9" s="161" t="s">
        <v>347</v>
      </c>
    </row>
    <row r="10" spans="2:5" ht="30.75" customHeight="1">
      <c r="B10" s="160"/>
      <c r="C10" s="167" t="s">
        <v>105</v>
      </c>
    </row>
    <row r="11" spans="2:5" ht="30.75" customHeight="1">
      <c r="B11" s="160"/>
      <c r="C11" s="161" t="s">
        <v>349</v>
      </c>
    </row>
    <row r="12" spans="2:5" ht="30.75" customHeight="1">
      <c r="B12" s="160"/>
      <c r="C12" s="167" t="s">
        <v>12</v>
      </c>
    </row>
    <row r="13" spans="2:5" ht="32.1" customHeight="1">
      <c r="B13" s="160"/>
      <c r="C13" s="167" t="s">
        <v>13</v>
      </c>
    </row>
    <row r="14" spans="2:5" ht="32.1" customHeight="1">
      <c r="B14" s="160"/>
      <c r="C14" s="167" t="s">
        <v>14</v>
      </c>
      <c r="D14" s="151"/>
      <c r="E14" s="154"/>
    </row>
    <row r="15" spans="2:5" ht="31.5" customHeight="1">
      <c r="B15" s="158"/>
      <c r="C15" s="167" t="s">
        <v>45</v>
      </c>
    </row>
    <row r="16" spans="2:5" ht="32.1" customHeight="1">
      <c r="B16" s="160"/>
      <c r="C16" s="167" t="s">
        <v>16</v>
      </c>
      <c r="D16" s="152"/>
    </row>
    <row r="17" spans="2:4" ht="32.1" customHeight="1">
      <c r="B17" s="160"/>
      <c r="C17" s="167" t="s">
        <v>17</v>
      </c>
    </row>
    <row r="18" spans="2:4" ht="32.1" customHeight="1">
      <c r="B18" s="160"/>
      <c r="C18" s="167" t="s">
        <v>18</v>
      </c>
    </row>
    <row r="19" spans="2:4" ht="32.1" customHeight="1">
      <c r="B19" s="160"/>
      <c r="C19" s="167" t="s">
        <v>19</v>
      </c>
    </row>
    <row r="20" spans="2:4" ht="32.1" customHeight="1">
      <c r="B20" s="160"/>
      <c r="C20" s="167" t="s">
        <v>24</v>
      </c>
    </row>
    <row r="21" spans="2:4" ht="32.1" customHeight="1">
      <c r="B21" s="160"/>
      <c r="C21" s="167" t="s">
        <v>21</v>
      </c>
    </row>
    <row r="22" spans="2:4" ht="32.1" customHeight="1">
      <c r="B22" s="160"/>
      <c r="C22" s="161" t="s">
        <v>46</v>
      </c>
    </row>
    <row r="23" spans="2:4" ht="32.1" customHeight="1">
      <c r="B23" s="160"/>
      <c r="C23" s="167" t="s">
        <v>47</v>
      </c>
    </row>
    <row r="24" spans="2:4" ht="32.1" customHeight="1">
      <c r="B24" s="160"/>
      <c r="C24" s="167" t="s">
        <v>50</v>
      </c>
    </row>
    <row r="25" spans="2:4" ht="32.1" customHeight="1">
      <c r="B25" s="160"/>
      <c r="C25" s="167" t="s">
        <v>52</v>
      </c>
    </row>
    <row r="26" spans="2:4" ht="32.1" customHeight="1">
      <c r="B26" s="160"/>
      <c r="C26" s="167" t="s">
        <v>63</v>
      </c>
    </row>
    <row r="27" spans="2:4" ht="32.1" customHeight="1">
      <c r="B27" s="160"/>
      <c r="C27" s="167" t="s">
        <v>64</v>
      </c>
    </row>
    <row r="28" spans="2:4" ht="32.1" customHeight="1">
      <c r="B28" s="160"/>
      <c r="C28" s="167" t="s">
        <v>85</v>
      </c>
    </row>
    <row r="29" spans="2:4" ht="32.1" customHeight="1">
      <c r="B29" s="160"/>
      <c r="C29" s="167" t="s">
        <v>106</v>
      </c>
      <c r="D29" s="153"/>
    </row>
    <row r="30" spans="2:4" ht="32.1" customHeight="1">
      <c r="B30" s="160"/>
      <c r="C30" s="168" t="s">
        <v>84</v>
      </c>
    </row>
    <row r="31" spans="2:4" ht="32.1" customHeight="1">
      <c r="B31" s="160"/>
      <c r="C31" s="161" t="s">
        <v>347</v>
      </c>
    </row>
    <row r="32" spans="2:4" ht="32.1" customHeight="1">
      <c r="B32" s="160"/>
      <c r="C32" s="167" t="s">
        <v>105</v>
      </c>
    </row>
    <row r="33" spans="2:3" ht="32.1" customHeight="1">
      <c r="B33" s="160"/>
      <c r="C33" s="167" t="s">
        <v>151</v>
      </c>
    </row>
    <row r="34" spans="2:3" ht="32.1" customHeight="1">
      <c r="B34" s="160"/>
      <c r="C34" s="167" t="s">
        <v>152</v>
      </c>
    </row>
    <row r="35" spans="2:3" ht="15" customHeight="1" thickBot="1">
      <c r="B35" s="162"/>
      <c r="C35" s="163"/>
    </row>
    <row r="36" spans="2:3" ht="38.25" customHeight="1" thickTop="1"/>
  </sheetData>
  <hyperlinks>
    <hyperlink ref="C10" location="'Cuadro 1'!A1" display="Producto Interno Bruto en la República, según provincia:  años 2015-18"/>
    <hyperlink ref="C12" location="'Cuadro 2-Bocas del Toro'!A1" display="Bocas del Toro"/>
    <hyperlink ref="C17" location="'Cuadro 7-Herrera'!A1" display="Herrera"/>
    <hyperlink ref="C18" location="'Cuadro 8-Los Santos'!A1" display="Los Santos"/>
    <hyperlink ref="C19" location="'Cuadro 9-Panamá'!A1" display="Panamá"/>
    <hyperlink ref="C20" location="'Cuadro 10-Panamá Oeste'!A1" display="Panamá Oeste"/>
    <hyperlink ref="C21" location="'Cuadro 11-Veraguas'!A1" display="Veraguas"/>
    <hyperlink ref="C23" location="'Cuadro 12  2018'!A1" display="Por provincia, según categoría de actividad económica:  año 2018"/>
    <hyperlink ref="C24" location="'Cuadro 13  2019'!A1" display="Por provincia, según categoría de actividad económica:  año 2019"/>
    <hyperlink ref="C25" location="'Cuadro 14  2020'!A1" display="Por provincia, según categoría de actividad económica:  año 2020"/>
    <hyperlink ref="C26" location="'Cuadro 15  2021'!A1" display="Por provincia, según categoría de actividad económica:  año 2021"/>
    <hyperlink ref="C27" location="'Cuadro 16  2022'!A1" display="Por provincia, según categoría de actividad económica:  año 2022"/>
    <hyperlink ref="C13" location="'Cuadro 3-Coclé'!A1" display="Coclé"/>
    <hyperlink ref="C14" location="'Cuadro 4-Colón'!A1" display="Colón"/>
    <hyperlink ref="C15" location="'Cuadro 5-Chiriquí'!A1" display="Chiriquí "/>
    <hyperlink ref="C16" location="'Cuadro 6-Darién'!A1" display="Darién"/>
    <hyperlink ref="C32" location="'Cuadro 19-PIB-Corriente 2018-24'!A1" display="Producto Interno Bruto en la República, según provincia:  años 2018-24"/>
    <hyperlink ref="C28" location="'Cuadro 17  2023'!A1" display="Por provincia, según categoría de actividad económica: año 2023"/>
    <hyperlink ref="C29" location="'Cuadro 18  2024'!A1" display="Por provincia, según categoría de actividad económica: año 2024"/>
    <hyperlink ref="C33" location="DATOS!A1" display="Tabla de datos"/>
    <hyperlink ref="C34" location="DICCIONARIO!A1" display="Diccionario de datos"/>
  </hyperlink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205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163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214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101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94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Toro'!C$6,DATOS!$B:$B,"B100101_04",DATOS!$G:$G,"0311",DATOS!$C:$C,"00")</f>
        <v>350.23663201457327</v>
      </c>
      <c r="D7" s="194">
        <f>SUMIFS(DATOS!$F:$F,DATOS!$D:$D,$A7,DATOS!$A:$A,'Cuadro 2-Bocas del Toro'!D$6,DATOS!$B:$B,"B100101_04",DATOS!$G:$G,"0311",DATOS!$C:$C,"00")</f>
        <v>363.07514811134672</v>
      </c>
      <c r="E7" s="194">
        <f>SUMIFS(DATOS!$F:$F,DATOS!$D:$D,$A7,DATOS!$A:$A,'Cuadro 2-Bocas del Toro'!E$6,DATOS!$B:$B,"B100101_04",DATOS!$G:$G,"0311",DATOS!$C:$C,"00")</f>
        <v>364.13804468912099</v>
      </c>
      <c r="F7" s="194">
        <f>SUMIFS(DATOS!$F:$F,DATOS!$D:$D,$A7,DATOS!$A:$A,'Cuadro 2-Bocas del Toro'!F$6,DATOS!$B:$B,"B100101_04",DATOS!$G:$G,"0311",DATOS!$C:$C,"00")</f>
        <v>369.83111853134028</v>
      </c>
      <c r="G7" s="194">
        <f>SUMIFS(DATOS!$F:$F,DATOS!$D:$D,$A7,DATOS!$A:$A,'Cuadro 2-Bocas del Toro'!G$6,DATOS!$B:$B,"B100101_04",DATOS!$G:$G,"0311",DATOS!$C:$C,"00")</f>
        <v>372.43696161605345</v>
      </c>
      <c r="H7" s="194">
        <f>SUMIFS(DATOS!$F:$F,DATOS!$D:$D,$A7,DATOS!$A:$A,'Cuadro 2-Bocas del Toro'!H$6,DATOS!$B:$B,"B100101_04",DATOS!$G:$G,"0311",DATOS!$C:$C,"00")</f>
        <v>355.80188741856909</v>
      </c>
      <c r="I7" s="195">
        <f>SUMIFS(DATOS!$F:$F,DATOS!$D:$D,$A7,DATOS!$A:$A,'Cuadro 2-Bocas del Toro'!I$6,DATOS!$B:$B,"B100101_04",DATOS!$G:$G,"0311",DATOS!$C:$C,"00")</f>
        <v>407.65694594670504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Toro'!C$6,DATOS!$B:$B,"B100101_04",DATOS!$G:$G,"0311",DATOS!$C:$C,"00")</f>
        <v>44.278728416271527</v>
      </c>
      <c r="D8" s="194">
        <f>SUMIFS(DATOS!$F:$F,DATOS!$D:$D,$A8,DATOS!$A:$A,'Cuadro 2-Bocas del Toro'!D$6,DATOS!$B:$B,"B100101_04",DATOS!$G:$G,"0311",DATOS!$C:$C,"00")</f>
        <v>61.975366516182675</v>
      </c>
      <c r="E8" s="194">
        <f>SUMIFS(DATOS!$F:$F,DATOS!$D:$D,$A8,DATOS!$A:$A,'Cuadro 2-Bocas del Toro'!E$6,DATOS!$B:$B,"B100101_04",DATOS!$G:$G,"0311",DATOS!$C:$C,"00")</f>
        <v>36.205537927970582</v>
      </c>
      <c r="F8" s="194">
        <f>SUMIFS(DATOS!$F:$F,DATOS!$D:$D,$A8,DATOS!$A:$A,'Cuadro 2-Bocas del Toro'!F$6,DATOS!$B:$B,"B100101_04",DATOS!$G:$G,"0311",DATOS!$C:$C,"00")</f>
        <v>63.616810504496669</v>
      </c>
      <c r="G8" s="194">
        <f>SUMIFS(DATOS!$F:$F,DATOS!$D:$D,$A8,DATOS!$A:$A,'Cuadro 2-Bocas del Toro'!G$6,DATOS!$B:$B,"B100101_04",DATOS!$G:$G,"0311",DATOS!$C:$C,"00")</f>
        <v>66.172944615470684</v>
      </c>
      <c r="H8" s="194">
        <f>SUMIFS(DATOS!$F:$F,DATOS!$D:$D,$A8,DATOS!$A:$A,'Cuadro 2-Bocas del Toro'!H$6,DATOS!$B:$B,"B100101_04",DATOS!$G:$G,"0311",DATOS!$C:$C,"00")</f>
        <v>74.572272586700919</v>
      </c>
      <c r="I8" s="195">
        <f>SUMIFS(DATOS!$F:$F,DATOS!$D:$D,$A8,DATOS!$A:$A,'Cuadro 2-Bocas del Toro'!I$6,DATOS!$B:$B,"B100101_04",DATOS!$G:$G,"0311",DATOS!$C:$C,"00")</f>
        <v>157.91654867007801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Toro'!C$6,DATOS!$B:$B,"B100101_04",DATOS!$G:$G,"0311",DATOS!$C:$C,"00")</f>
        <v>236.18791003461044</v>
      </c>
      <c r="D9" s="194">
        <f>SUMIFS(DATOS!$F:$F,DATOS!$D:$D,$A9,DATOS!$A:$A,'Cuadro 2-Bocas del Toro'!D$6,DATOS!$B:$B,"B100101_04",DATOS!$G:$G,"0311",DATOS!$C:$C,"00")</f>
        <v>228.56872000629747</v>
      </c>
      <c r="E9" s="194">
        <f>SUMIFS(DATOS!$F:$F,DATOS!$D:$D,$A9,DATOS!$A:$A,'Cuadro 2-Bocas del Toro'!E$6,DATOS!$B:$B,"B100101_04",DATOS!$G:$G,"0311",DATOS!$C:$C,"00")</f>
        <v>185.56495581203748</v>
      </c>
      <c r="F9" s="194">
        <f>SUMIFS(DATOS!$F:$F,DATOS!$D:$D,$A9,DATOS!$A:$A,'Cuadro 2-Bocas del Toro'!F$6,DATOS!$B:$B,"B100101_04",DATOS!$G:$G,"0311",DATOS!$C:$C,"00")</f>
        <v>192.00131694747469</v>
      </c>
      <c r="G9" s="194">
        <f>SUMIFS(DATOS!$F:$F,DATOS!$D:$D,$A9,DATOS!$A:$A,'Cuadro 2-Bocas del Toro'!G$6,DATOS!$B:$B,"B100101_04",DATOS!$G:$G,"0311",DATOS!$C:$C,"00")</f>
        <v>189.66768910725423</v>
      </c>
      <c r="H9" s="194">
        <f>SUMIFS(DATOS!$F:$F,DATOS!$D:$D,$A9,DATOS!$A:$A,'Cuadro 2-Bocas del Toro'!H$6,DATOS!$B:$B,"B100101_04",DATOS!$G:$G,"0311",DATOS!$C:$C,"00")</f>
        <v>220.6024158963842</v>
      </c>
      <c r="I9" s="195">
        <f>SUMIFS(DATOS!$F:$F,DATOS!$D:$D,$A9,DATOS!$A:$A,'Cuadro 2-Bocas del Toro'!I$6,DATOS!$B:$B,"B100101_04",DATOS!$G:$G,"0311",DATOS!$C:$C,"00")</f>
        <v>274.60778284957894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Toro'!C$6,DATOS!$B:$B,"B100101_04",DATOS!$G:$G,"0311",DATOS!$C:$C,"00")</f>
        <v>357.12053004503355</v>
      </c>
      <c r="D10" s="194">
        <f>SUMIFS(DATOS!$F:$F,DATOS!$D:$D,$A10,DATOS!$A:$A,'Cuadro 2-Bocas del Toro'!D$6,DATOS!$B:$B,"B100101_04",DATOS!$G:$G,"0311",DATOS!$C:$C,"00")</f>
        <v>343.76341526943742</v>
      </c>
      <c r="E10" s="194">
        <f>SUMIFS(DATOS!$F:$F,DATOS!$D:$D,$A10,DATOS!$A:$A,'Cuadro 2-Bocas del Toro'!E$6,DATOS!$B:$B,"B100101_04",DATOS!$G:$G,"0311",DATOS!$C:$C,"00")</f>
        <v>399.18613988177492</v>
      </c>
      <c r="F10" s="194">
        <f>SUMIFS(DATOS!$F:$F,DATOS!$D:$D,$A10,DATOS!$A:$A,'Cuadro 2-Bocas del Toro'!F$6,DATOS!$B:$B,"B100101_04",DATOS!$G:$G,"0311",DATOS!$C:$C,"00")</f>
        <v>460.68013442679876</v>
      </c>
      <c r="G10" s="194">
        <f>SUMIFS(DATOS!$F:$F,DATOS!$D:$D,$A10,DATOS!$A:$A,'Cuadro 2-Bocas del Toro'!G$6,DATOS!$B:$B,"B100101_04",DATOS!$G:$G,"0311",DATOS!$C:$C,"00")</f>
        <v>467.58498415610916</v>
      </c>
      <c r="H10" s="194">
        <f>SUMIFS(DATOS!$F:$F,DATOS!$D:$D,$A10,DATOS!$A:$A,'Cuadro 2-Bocas del Toro'!H$6,DATOS!$B:$B,"B100101_04",DATOS!$G:$G,"0311",DATOS!$C:$C,"00")</f>
        <v>401.46438347085427</v>
      </c>
      <c r="I10" s="195">
        <f>SUMIFS(DATOS!$F:$F,DATOS!$D:$D,$A10,DATOS!$A:$A,'Cuadro 2-Bocas del Toro'!I$6,DATOS!$B:$B,"B100101_04",DATOS!$G:$G,"0311",DATOS!$C:$C,"00")</f>
        <v>448.94430385466234</v>
      </c>
    </row>
    <row r="11" spans="1:12" ht="32.25" customHeight="1">
      <c r="A11" s="56" t="s">
        <v>4</v>
      </c>
      <c r="B11" s="60" t="s">
        <v>94</v>
      </c>
      <c r="C11" s="194">
        <f>SUMIFS(DATOS!$F:$F,DATOS!$D:$D,$A11,DATOS!$A:$A,'Cuadro 2-Bocas del Toro'!C$6,DATOS!$B:$B,"B100101_04",DATOS!$G:$G,"0311",DATOS!$C:$C,"00")</f>
        <v>610.55649101900542</v>
      </c>
      <c r="D11" s="194">
        <f>SUMIFS(DATOS!$F:$F,DATOS!$D:$D,$A11,DATOS!$A:$A,'Cuadro 2-Bocas del Toro'!D$6,DATOS!$B:$B,"B100101_04",DATOS!$G:$G,"0311",DATOS!$C:$C,"00")</f>
        <v>785.08458876857333</v>
      </c>
      <c r="E11" s="194">
        <f>SUMIFS(DATOS!$F:$F,DATOS!$D:$D,$A11,DATOS!$A:$A,'Cuadro 2-Bocas del Toro'!E$6,DATOS!$B:$B,"B100101_04",DATOS!$G:$G,"0311",DATOS!$C:$C,"00")</f>
        <v>464.27134249808927</v>
      </c>
      <c r="F11" s="194">
        <f>SUMIFS(DATOS!$F:$F,DATOS!$D:$D,$A11,DATOS!$A:$A,'Cuadro 2-Bocas del Toro'!F$6,DATOS!$B:$B,"B100101_04",DATOS!$G:$G,"0311",DATOS!$C:$C,"00")</f>
        <v>768.96585114701452</v>
      </c>
      <c r="G11" s="194">
        <f>SUMIFS(DATOS!$F:$F,DATOS!$D:$D,$A11,DATOS!$A:$A,'Cuadro 2-Bocas del Toro'!G$6,DATOS!$B:$B,"B100101_04",DATOS!$G:$G,"0311",DATOS!$C:$C,"00")</f>
        <v>752.78228575901915</v>
      </c>
      <c r="H11" s="194">
        <f>SUMIFS(DATOS!$F:$F,DATOS!$D:$D,$A11,DATOS!$A:$A,'Cuadro 2-Bocas del Toro'!H$6,DATOS!$B:$B,"B100101_04",DATOS!$G:$G,"0311",DATOS!$C:$C,"00")</f>
        <v>851.04217679913211</v>
      </c>
      <c r="I11" s="195">
        <f>SUMIFS(DATOS!$F:$F,DATOS!$D:$D,$A11,DATOS!$A:$A,'Cuadro 2-Bocas del Toro'!I$6,DATOS!$B:$B,"B100101_04",DATOS!$G:$G,"0311",DATOS!$C:$C,"00")</f>
        <v>1066.5608616986626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Toro'!C$6,DATOS!$B:$B,"B100101_04",DATOS!$G:$G,"0311",DATOS!$C:$C,"00")</f>
        <v>351.82527534632175</v>
      </c>
      <c r="D12" s="194">
        <f>SUMIFS(DATOS!$F:$F,DATOS!$D:$D,$A12,DATOS!$A:$A,'Cuadro 2-Bocas del Toro'!D$6,DATOS!$B:$B,"B100101_04",DATOS!$G:$G,"0311",DATOS!$C:$C,"00")</f>
        <v>353.14940027312463</v>
      </c>
      <c r="E12" s="194">
        <f>SUMIFS(DATOS!$F:$F,DATOS!$D:$D,$A12,DATOS!$A:$A,'Cuadro 2-Bocas del Toro'!E$6,DATOS!$B:$B,"B100101_04",DATOS!$G:$G,"0311",DATOS!$C:$C,"00")</f>
        <v>308.22699377129169</v>
      </c>
      <c r="F12" s="194">
        <f>SUMIFS(DATOS!$F:$F,DATOS!$D:$D,$A12,DATOS!$A:$A,'Cuadro 2-Bocas del Toro'!F$6,DATOS!$B:$B,"B100101_04",DATOS!$G:$G,"0311",DATOS!$C:$C,"00")</f>
        <v>426.55342217084086</v>
      </c>
      <c r="G12" s="194">
        <f>SUMIFS(DATOS!$F:$F,DATOS!$D:$D,$A12,DATOS!$A:$A,'Cuadro 2-Bocas del Toro'!G$6,DATOS!$B:$B,"B100101_04",DATOS!$G:$G,"0311",DATOS!$C:$C,"00")</f>
        <v>595.72236592104207</v>
      </c>
      <c r="H12" s="194">
        <f>SUMIFS(DATOS!$F:$F,DATOS!$D:$D,$A12,DATOS!$A:$A,'Cuadro 2-Bocas del Toro'!H$6,DATOS!$B:$B,"B100101_04",DATOS!$G:$G,"0311",DATOS!$C:$C,"00")</f>
        <v>539.7927127301881</v>
      </c>
      <c r="I12" s="195">
        <f>SUMIFS(DATOS!$F:$F,DATOS!$D:$D,$A12,DATOS!$A:$A,'Cuadro 2-Bocas del Toro'!I$6,DATOS!$B:$B,"B100101_04",DATOS!$G:$G,"0311",DATOS!$C:$C,"00")</f>
        <v>555.15411548562338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Toro'!C$6,DATOS!$B:$B,"B100101_04",DATOS!$G:$G,"0311",DATOS!$C:$C,"00")</f>
        <v>217.74390182207159</v>
      </c>
      <c r="D13" s="194">
        <f>SUMIFS(DATOS!$F:$F,DATOS!$D:$D,$A13,DATOS!$A:$A,'Cuadro 2-Bocas del Toro'!D$6,DATOS!$B:$B,"B100101_04",DATOS!$G:$G,"0311",DATOS!$C:$C,"00")</f>
        <v>233.00882004549095</v>
      </c>
      <c r="E13" s="194">
        <f>SUMIFS(DATOS!$F:$F,DATOS!$D:$D,$A13,DATOS!$A:$A,'Cuadro 2-Bocas del Toro'!E$6,DATOS!$B:$B,"B100101_04",DATOS!$G:$G,"0311",DATOS!$C:$C,"00")</f>
        <v>169.72593404188643</v>
      </c>
      <c r="F13" s="194">
        <f>SUMIFS(DATOS!$F:$F,DATOS!$D:$D,$A13,DATOS!$A:$A,'Cuadro 2-Bocas del Toro'!F$6,DATOS!$B:$B,"B100101_04",DATOS!$G:$G,"0311",DATOS!$C:$C,"00")</f>
        <v>217.18191782109599</v>
      </c>
      <c r="G13" s="194">
        <f>SUMIFS(DATOS!$F:$F,DATOS!$D:$D,$A13,DATOS!$A:$A,'Cuadro 2-Bocas del Toro'!G$6,DATOS!$B:$B,"B100101_04",DATOS!$G:$G,"0311",DATOS!$C:$C,"00")</f>
        <v>219.45365900119916</v>
      </c>
      <c r="H13" s="194">
        <f>SUMIFS(DATOS!$F:$F,DATOS!$D:$D,$A13,DATOS!$A:$A,'Cuadro 2-Bocas del Toro'!H$6,DATOS!$B:$B,"B100101_04",DATOS!$G:$G,"0311",DATOS!$C:$C,"00")</f>
        <v>295.97231947445505</v>
      </c>
      <c r="I13" s="195">
        <f>SUMIFS(DATOS!$F:$F,DATOS!$D:$D,$A13,DATOS!$A:$A,'Cuadro 2-Bocas del Toro'!I$6,DATOS!$B:$B,"B100101_04",DATOS!$G:$G,"0311",DATOS!$C:$C,"00")</f>
        <v>385.47747034103463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Toro'!C$6,DATOS!$B:$B,"B100101_04",DATOS!$G:$G,"0311",DATOS!$C:$C,"00")</f>
        <v>22.61111113549639</v>
      </c>
      <c r="D14" s="194">
        <f>SUMIFS(DATOS!$F:$F,DATOS!$D:$D,$A14,DATOS!$A:$A,'Cuadro 2-Bocas del Toro'!D$6,DATOS!$B:$B,"B100101_04",DATOS!$G:$G,"0311",DATOS!$C:$C,"00")</f>
        <v>19.899305476785603</v>
      </c>
      <c r="E14" s="194">
        <f>SUMIFS(DATOS!$F:$F,DATOS!$D:$D,$A14,DATOS!$A:$A,'Cuadro 2-Bocas del Toro'!E$6,DATOS!$B:$B,"B100101_04",DATOS!$G:$G,"0311",DATOS!$C:$C,"00")</f>
        <v>6.4842736909616825</v>
      </c>
      <c r="F14" s="194">
        <f>SUMIFS(DATOS!$F:$F,DATOS!$D:$D,$A14,DATOS!$A:$A,'Cuadro 2-Bocas del Toro'!F$6,DATOS!$B:$B,"B100101_04",DATOS!$G:$G,"0311",DATOS!$C:$C,"00")</f>
        <v>9.6745448234481195</v>
      </c>
      <c r="G14" s="194">
        <f>SUMIFS(DATOS!$F:$F,DATOS!$D:$D,$A14,DATOS!$A:$A,'Cuadro 2-Bocas del Toro'!G$6,DATOS!$B:$B,"B100101_04",DATOS!$G:$G,"0311",DATOS!$C:$C,"00")</f>
        <v>36.79415147628773</v>
      </c>
      <c r="H14" s="194">
        <f>SUMIFS(DATOS!$F:$F,DATOS!$D:$D,$A14,DATOS!$A:$A,'Cuadro 2-Bocas del Toro'!H$6,DATOS!$B:$B,"B100101_04",DATOS!$G:$G,"0311",DATOS!$C:$C,"00")</f>
        <v>39.726204535268103</v>
      </c>
      <c r="I14" s="195">
        <f>SUMIFS(DATOS!$F:$F,DATOS!$D:$D,$A14,DATOS!$A:$A,'Cuadro 2-Bocas del Toro'!I$6,DATOS!$B:$B,"B100101_04",DATOS!$G:$G,"0311",DATOS!$C:$C,"00")</f>
        <v>49.318872677871006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Toro'!C$6,DATOS!$B:$B,"B100101_04",DATOS!$G:$G,"0311",DATOS!$C:$C,"00")</f>
        <v>257.81815465000926</v>
      </c>
      <c r="D15" s="194">
        <f>SUMIFS(DATOS!$F:$F,DATOS!$D:$D,$A15,DATOS!$A:$A,'Cuadro 2-Bocas del Toro'!D$6,DATOS!$B:$B,"B100101_04",DATOS!$G:$G,"0311",DATOS!$C:$C,"00")</f>
        <v>257.66557635714594</v>
      </c>
      <c r="E15" s="194">
        <f>SUMIFS(DATOS!$F:$F,DATOS!$D:$D,$A15,DATOS!$A:$A,'Cuadro 2-Bocas del Toro'!E$6,DATOS!$B:$B,"B100101_04",DATOS!$G:$G,"0311",DATOS!$C:$C,"00")</f>
        <v>260.87947585846746</v>
      </c>
      <c r="F15" s="194">
        <f>SUMIFS(DATOS!$F:$F,DATOS!$D:$D,$A15,DATOS!$A:$A,'Cuadro 2-Bocas del Toro'!F$6,DATOS!$B:$B,"B100101_04",DATOS!$G:$G,"0311",DATOS!$C:$C,"00")</f>
        <v>276.02224632256059</v>
      </c>
      <c r="G15" s="194">
        <f>SUMIFS(DATOS!$F:$F,DATOS!$D:$D,$A15,DATOS!$A:$A,'Cuadro 2-Bocas del Toro'!G$6,DATOS!$B:$B,"B100101_04",DATOS!$G:$G,"0311",DATOS!$C:$C,"00")</f>
        <v>272.51756552245757</v>
      </c>
      <c r="H15" s="194">
        <f>SUMIFS(DATOS!$F:$F,DATOS!$D:$D,$A15,DATOS!$A:$A,'Cuadro 2-Bocas del Toro'!H$6,DATOS!$B:$B,"B100101_04",DATOS!$G:$G,"0311",DATOS!$C:$C,"00")</f>
        <v>292.02723177176381</v>
      </c>
      <c r="I15" s="195">
        <f>SUMIFS(DATOS!$F:$F,DATOS!$D:$D,$A15,DATOS!$A:$A,'Cuadro 2-Bocas del Toro'!I$6,DATOS!$B:$B,"B100101_04",DATOS!$G:$G,"0311",DATOS!$C:$C,"00")</f>
        <v>326.65778207768358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Toro'!C$6,DATOS!$B:$B,"B100101_04",DATOS!$G:$G,"0311",DATOS!$C:$C,"00")</f>
        <v>182.50157552788778</v>
      </c>
      <c r="D16" s="194">
        <f>SUMIFS(DATOS!$F:$F,DATOS!$D:$D,$A16,DATOS!$A:$A,'Cuadro 2-Bocas del Toro'!D$6,DATOS!$B:$B,"B100101_04",DATOS!$G:$G,"0311",DATOS!$C:$C,"00")</f>
        <v>184.92203181813872</v>
      </c>
      <c r="E16" s="194">
        <f>SUMIFS(DATOS!$F:$F,DATOS!$D:$D,$A16,DATOS!$A:$A,'Cuadro 2-Bocas del Toro'!E$6,DATOS!$B:$B,"B100101_04",DATOS!$G:$G,"0311",DATOS!$C:$C,"00")</f>
        <v>166.81458942850804</v>
      </c>
      <c r="F16" s="194">
        <f>SUMIFS(DATOS!$F:$F,DATOS!$D:$D,$A16,DATOS!$A:$A,'Cuadro 2-Bocas del Toro'!F$6,DATOS!$B:$B,"B100101_04",DATOS!$G:$G,"0311",DATOS!$C:$C,"00")</f>
        <v>184.58574572668576</v>
      </c>
      <c r="G16" s="194">
        <f>SUMIFS(DATOS!$F:$F,DATOS!$D:$D,$A16,DATOS!$A:$A,'Cuadro 2-Bocas del Toro'!G$6,DATOS!$B:$B,"B100101_04",DATOS!$G:$G,"0311",DATOS!$C:$C,"00")</f>
        <v>181.92632620465207</v>
      </c>
      <c r="H16" s="194">
        <f>SUMIFS(DATOS!$F:$F,DATOS!$D:$D,$A16,DATOS!$A:$A,'Cuadro 2-Bocas del Toro'!H$6,DATOS!$B:$B,"B100101_04",DATOS!$G:$G,"0311",DATOS!$C:$C,"00")</f>
        <v>183.57269216446468</v>
      </c>
      <c r="I16" s="195">
        <f>SUMIFS(DATOS!$F:$F,DATOS!$D:$D,$A16,DATOS!$A:$A,'Cuadro 2-Bocas del Toro'!I$6,DATOS!$B:$B,"B100101_04",DATOS!$G:$G,"0311",DATOS!$C:$C,"00")</f>
        <v>214.45885775645399</v>
      </c>
    </row>
    <row r="17" spans="1:16" ht="32.25" customHeight="1">
      <c r="A17" s="56" t="s">
        <v>70</v>
      </c>
      <c r="B17" s="60" t="s">
        <v>95</v>
      </c>
      <c r="C17" s="194">
        <f>SUMIFS(DATOS!$F:$F,DATOS!$D:$D,$A17,DATOS!$A:$A,'Cuadro 2-Bocas del Toro'!C$6,DATOS!$B:$B,"B100101_04",DATOS!$G:$G,"0311",DATOS!$C:$C,"00")</f>
        <v>310.55560743758497</v>
      </c>
      <c r="D17" s="194">
        <f>SUMIFS(DATOS!$F:$F,DATOS!$D:$D,$A17,DATOS!$A:$A,'Cuadro 2-Bocas del Toro'!D$6,DATOS!$B:$B,"B100101_04",DATOS!$G:$G,"0311",DATOS!$C:$C,"00")</f>
        <v>350.60474094546788</v>
      </c>
      <c r="E17" s="194">
        <f>SUMIFS(DATOS!$F:$F,DATOS!$D:$D,$A17,DATOS!$A:$A,'Cuadro 2-Bocas del Toro'!E$6,DATOS!$B:$B,"B100101_04",DATOS!$G:$G,"0311",DATOS!$C:$C,"00")</f>
        <v>322.57232838371863</v>
      </c>
      <c r="F17" s="194">
        <f>SUMIFS(DATOS!$F:$F,DATOS!$D:$D,$A17,DATOS!$A:$A,'Cuadro 2-Bocas del Toro'!F$6,DATOS!$B:$B,"B100101_04",DATOS!$G:$G,"0311",DATOS!$C:$C,"00")</f>
        <v>369.70813331875866</v>
      </c>
      <c r="G17" s="194">
        <f>SUMIFS(DATOS!$F:$F,DATOS!$D:$D,$A17,DATOS!$A:$A,'Cuadro 2-Bocas del Toro'!G$6,DATOS!$B:$B,"B100101_04",DATOS!$G:$G,"0311",DATOS!$C:$C,"00")</f>
        <v>376.80926880215651</v>
      </c>
      <c r="H17" s="194">
        <f>SUMIFS(DATOS!$F:$F,DATOS!$D:$D,$A17,DATOS!$A:$A,'Cuadro 2-Bocas del Toro'!H$6,DATOS!$B:$B,"B100101_04",DATOS!$G:$G,"0311",DATOS!$C:$C,"00")</f>
        <v>387.12411521214364</v>
      </c>
      <c r="I17" s="195">
        <f>SUMIFS(DATOS!$F:$F,DATOS!$D:$D,$A17,DATOS!$A:$A,'Cuadro 2-Bocas del Toro'!I$6,DATOS!$B:$B,"B100101_04",DATOS!$G:$G,"0311",DATOS!$C:$C,"00")</f>
        <v>416.8050983290716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Toro'!C$6,DATOS!$B:$B,"B100101_04",DATOS!$G:$G,"0311",DATOS!$C:$C,"00")</f>
        <v>24.65852988786024</v>
      </c>
      <c r="D18" s="194">
        <f>SUMIFS(DATOS!$F:$F,DATOS!$D:$D,$A18,DATOS!$A:$A,'Cuadro 2-Bocas del Toro'!D$6,DATOS!$B:$B,"B100101_04",DATOS!$G:$G,"0311",DATOS!$C:$C,"00")</f>
        <v>25.241566788677687</v>
      </c>
      <c r="E18" s="194">
        <f>SUMIFS(DATOS!$F:$F,DATOS!$D:$D,$A18,DATOS!$A:$A,'Cuadro 2-Bocas del Toro'!E$6,DATOS!$B:$B,"B100101_04",DATOS!$G:$G,"0311",DATOS!$C:$C,"00")</f>
        <v>21.69748628277442</v>
      </c>
      <c r="F18" s="194">
        <f>SUMIFS(DATOS!$F:$F,DATOS!$D:$D,$A18,DATOS!$A:$A,'Cuadro 2-Bocas del Toro'!F$6,DATOS!$B:$B,"B100101_04",DATOS!$G:$G,"0311",DATOS!$C:$C,"00")</f>
        <v>24.087154027306642</v>
      </c>
      <c r="G18" s="194">
        <f>SUMIFS(DATOS!$F:$F,DATOS!$D:$D,$A18,DATOS!$A:$A,'Cuadro 2-Bocas del Toro'!G$6,DATOS!$B:$B,"B100101_04",DATOS!$G:$G,"0311",DATOS!$C:$C,"00")</f>
        <v>29.695155768323747</v>
      </c>
      <c r="H18" s="194">
        <f>SUMIFS(DATOS!$F:$F,DATOS!$D:$D,$A18,DATOS!$A:$A,'Cuadro 2-Bocas del Toro'!H$6,DATOS!$B:$B,"B100101_04",DATOS!$G:$G,"0311",DATOS!$C:$C,"00")</f>
        <v>33.162496877368739</v>
      </c>
      <c r="I18" s="195">
        <f>SUMIFS(DATOS!$F:$F,DATOS!$D:$D,$A18,DATOS!$A:$A,'Cuadro 2-Bocas del Toro'!I$6,DATOS!$B:$B,"B100101_04",DATOS!$G:$G,"0311",DATOS!$C:$C,"00")</f>
        <v>39.140204875769179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Toro'!C$6,DATOS!$B:$B,"B100101_04",DATOS!$G:$G,"0311",DATOS!$C:$C,"00")</f>
        <v>15.177130696431611</v>
      </c>
      <c r="D19" s="194">
        <f>SUMIFS(DATOS!$F:$F,DATOS!$D:$D,$A19,DATOS!$A:$A,'Cuadro 2-Bocas del Toro'!D$6,DATOS!$B:$B,"B100101_04",DATOS!$G:$G,"0311",DATOS!$C:$C,"00")</f>
        <v>19.056016462865855</v>
      </c>
      <c r="E19" s="194">
        <f>SUMIFS(DATOS!$F:$F,DATOS!$D:$D,$A19,DATOS!$A:$A,'Cuadro 2-Bocas del Toro'!E$6,DATOS!$B:$B,"B100101_04",DATOS!$G:$G,"0311",DATOS!$C:$C,"00")</f>
        <v>18.25677329739537</v>
      </c>
      <c r="F19" s="194">
        <f>SUMIFS(DATOS!$F:$F,DATOS!$D:$D,$A19,DATOS!$A:$A,'Cuadro 2-Bocas del Toro'!F$6,DATOS!$B:$B,"B100101_04",DATOS!$G:$G,"0311",DATOS!$C:$C,"00")</f>
        <v>29.426864424856348</v>
      </c>
      <c r="G19" s="194">
        <f>SUMIFS(DATOS!$F:$F,DATOS!$D:$D,$A19,DATOS!$A:$A,'Cuadro 2-Bocas del Toro'!G$6,DATOS!$B:$B,"B100101_04",DATOS!$G:$G,"0311",DATOS!$C:$C,"00")</f>
        <v>20.036692663675126</v>
      </c>
      <c r="H19" s="194">
        <f>SUMIFS(DATOS!$F:$F,DATOS!$D:$D,$A19,DATOS!$A:$A,'Cuadro 2-Bocas del Toro'!H$6,DATOS!$B:$B,"B100101_04",DATOS!$G:$G,"0311",DATOS!$C:$C,"00")</f>
        <v>17.916988345698691</v>
      </c>
      <c r="I19" s="195">
        <f>SUMIFS(DATOS!$F:$F,DATOS!$D:$D,$A19,DATOS!$A:$A,'Cuadro 2-Bocas del Toro'!I$6,DATOS!$B:$B,"B100101_04",DATOS!$G:$G,"0311",DATOS!$C:$C,"00")</f>
        <v>18.615022863441549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Toro'!C$6,DATOS!$B:$B,"B100101_04",DATOS!$G:$G,"0311",DATOS!$C:$C,"00")</f>
        <v>11.998329572160795</v>
      </c>
      <c r="D20" s="194">
        <f>SUMIFS(DATOS!$F:$F,DATOS!$D:$D,$A20,DATOS!$A:$A,'Cuadro 2-Bocas del Toro'!D$6,DATOS!$B:$B,"B100101_04",DATOS!$G:$G,"0311",DATOS!$C:$C,"00")</f>
        <v>10.558981228311641</v>
      </c>
      <c r="E20" s="194">
        <f>SUMIFS(DATOS!$F:$F,DATOS!$D:$D,$A20,DATOS!$A:$A,'Cuadro 2-Bocas del Toro'!E$6,DATOS!$B:$B,"B100101_04",DATOS!$G:$G,"0311",DATOS!$C:$C,"00")</f>
        <v>5.5286972472303182</v>
      </c>
      <c r="F20" s="194">
        <f>SUMIFS(DATOS!$F:$F,DATOS!$D:$D,$A20,DATOS!$A:$A,'Cuadro 2-Bocas del Toro'!F$6,DATOS!$B:$B,"B100101_04",DATOS!$G:$G,"0311",DATOS!$C:$C,"00")</f>
        <v>2.2115567045260205</v>
      </c>
      <c r="G20" s="194">
        <f>SUMIFS(DATOS!$F:$F,DATOS!$D:$D,$A20,DATOS!$A:$A,'Cuadro 2-Bocas del Toro'!G$6,DATOS!$B:$B,"B100101_04",DATOS!$G:$G,"0311",DATOS!$C:$C,"00")</f>
        <v>4.9807360771030327</v>
      </c>
      <c r="H20" s="194">
        <f>SUMIFS(DATOS!$F:$F,DATOS!$D:$D,$A20,DATOS!$A:$A,'Cuadro 2-Bocas del Toro'!H$6,DATOS!$B:$B,"B100101_04",DATOS!$G:$G,"0311",DATOS!$C:$C,"00")</f>
        <v>6.0074278485948875</v>
      </c>
      <c r="I20" s="195">
        <f>SUMIFS(DATOS!$F:$F,DATOS!$D:$D,$A20,DATOS!$A:$A,'Cuadro 2-Bocas del Toro'!I$6,DATOS!$B:$B,"B100101_04",DATOS!$G:$G,"0311",DATOS!$C:$C,"00")</f>
        <v>9.0471143388102071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Toro'!C$6,DATOS!$B:$B,"B100101_04",DATOS!$G:$G,"0311",DATOS!$C:$C,"00")</f>
        <v>29.809800643643495</v>
      </c>
      <c r="D21" s="196">
        <f>SUMIFS(DATOS!$F:$F,DATOS!$D:$D,$A21,DATOS!$A:$A,'Cuadro 2-Bocas del Toro'!D$6,DATOS!$B:$B,"B100101_04",DATOS!$G:$G,"0311",DATOS!$C:$C,"00")</f>
        <v>45.745204921883726</v>
      </c>
      <c r="E21" s="196">
        <f>SUMIFS(DATOS!$F:$F,DATOS!$D:$D,$A21,DATOS!$A:$A,'Cuadro 2-Bocas del Toro'!E$6,DATOS!$B:$B,"B100101_04",DATOS!$G:$G,"0311",DATOS!$C:$C,"00")</f>
        <v>36.757770576443242</v>
      </c>
      <c r="F21" s="196">
        <f>SUMIFS(DATOS!$F:$F,DATOS!$D:$D,$A21,DATOS!$A:$A,'Cuadro 2-Bocas del Toro'!F$6,DATOS!$B:$B,"B100101_04",DATOS!$G:$G,"0311",DATOS!$C:$C,"00")</f>
        <v>33.004086471493089</v>
      </c>
      <c r="G21" s="196">
        <f>SUMIFS(DATOS!$F:$F,DATOS!$D:$D,$A21,DATOS!$A:$A,'Cuadro 2-Bocas del Toro'!G$6,DATOS!$B:$B,"B100101_04",DATOS!$G:$G,"0311",DATOS!$C:$C,"00")</f>
        <v>32.025710867036963</v>
      </c>
      <c r="H21" s="197">
        <f>SUMIFS(DATOS!$F:$F,DATOS!$D:$D,$A21,DATOS!$A:$A,'Cuadro 2-Bocas del Toro'!H$6,DATOS!$B:$B,"B100101_04",DATOS!$G:$G,"0311",DATOS!$C:$C,"00")</f>
        <v>19.336042136941707</v>
      </c>
      <c r="I21" s="198">
        <f>SUMIFS(DATOS!$F:$F,DATOS!$D:$D,$A21,DATOS!$A:$A,'Cuadro 2-Bocas del Toro'!I$6,DATOS!$B:$B,"B100101_04",DATOS!$G:$G,"0311",DATOS!$C:$C,"00")</f>
        <v>29.09091402476253</v>
      </c>
    </row>
    <row r="22" spans="1:16" ht="32.25" customHeight="1">
      <c r="A22" s="25"/>
      <c r="B22" s="22" t="s">
        <v>93</v>
      </c>
      <c r="C22" s="196">
        <f>SUMIFS(DATOS!$F:$F,DATOS!$D:$D,"GOB",DATOS!$A:$A,'Cuadro 2-Bocas del Toro'!C$6,DATOS!$B:$B,"B100103_04",DATOS!$G:$G,"0311",DATOS!$C:$C,"00")</f>
        <v>680.190000762674</v>
      </c>
      <c r="D22" s="196">
        <f>SUMIFS(DATOS!$F:$F,DATOS!$D:$D,"GOB",DATOS!$A:$A,'Cuadro 2-Bocas del Toro'!D$6,DATOS!$B:$B,"B100103_04",DATOS!$G:$G,"0311",DATOS!$C:$C,"00")</f>
        <v>639.77884000171446</v>
      </c>
      <c r="E22" s="196">
        <f>SUMIFS(DATOS!$F:$F,DATOS!$D:$D,"GOB",DATOS!$A:$A,'Cuadro 2-Bocas del Toro'!E$6,DATOS!$B:$B,"B100103_04",DATOS!$G:$G,"0311",DATOS!$C:$C,"00")</f>
        <v>710.6679248733011</v>
      </c>
      <c r="F22" s="196">
        <f>SUMIFS(DATOS!$F:$F,DATOS!$D:$D,"GOB",DATOS!$A:$A,'Cuadro 2-Bocas del Toro'!F$6,DATOS!$B:$B,"B100103_04",DATOS!$G:$G,"0311",DATOS!$C:$C,"00")</f>
        <v>754.11258040942516</v>
      </c>
      <c r="G22" s="196">
        <f>SUMIFS(DATOS!$F:$F,DATOS!$D:$D,"GOB",DATOS!$A:$A,'Cuadro 2-Bocas del Toro'!G$6,DATOS!$B:$B,"B100103_04",DATOS!$G:$G,"0311",DATOS!$C:$C,"00")</f>
        <v>745.66096071458583</v>
      </c>
      <c r="H22" s="197">
        <f>SUMIFS(DATOS!$F:$F,DATOS!$D:$D,"GOB",DATOS!$A:$A,'Cuadro 2-Bocas del Toro'!H$6,DATOS!$B:$B,"B100103_04",DATOS!$G:$G,"0311",DATOS!$C:$C,"00")</f>
        <v>871.41766571043945</v>
      </c>
      <c r="I22" s="198">
        <f>SUMIFS(DATOS!$F:$F,DATOS!$D:$D,"GOB",DATOS!$A:$A,'Cuadro 2-Bocas del Toro'!I$6,DATOS!$B:$B,"B100103_04",DATOS!$G:$G,"0311",DATOS!$C:$C,"00")</f>
        <v>1098.6758039221299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Toro'!C$6,DATOS!$B:$B,"VAB_04",DATOS!$G:$G,"0311",DATOS!$C:$C,"00")</f>
        <v>3703.2697090116358</v>
      </c>
      <c r="D23" s="199">
        <f>SUMIFS(DATOS!$F:$F,DATOS!$D:$D,"VAB",DATOS!$A:$A,'Cuadro 2-Bocas del Toro'!D$6,DATOS!$B:$B,"VAB_04",DATOS!$G:$G,"0311",DATOS!$C:$C,"00")</f>
        <v>3922.0977229914452</v>
      </c>
      <c r="E23" s="199">
        <f>SUMIFS(DATOS!$F:$F,DATOS!$D:$D,"VAB",DATOS!$A:$A,'Cuadro 2-Bocas del Toro'!E$6,DATOS!$B:$B,"VAB_04",DATOS!$G:$G,"0311",DATOS!$C:$C,"00")</f>
        <v>3465.4108051709559</v>
      </c>
      <c r="F23" s="199">
        <f>SUMIFS(DATOS!$F:$F,DATOS!$D:$D,"VAB",DATOS!$A:$A,'Cuadro 2-Bocas del Toro'!F$6,DATOS!$B:$B,"VAB_04",DATOS!$G:$G,"0311",DATOS!$C:$C,"00")</f>
        <v>4186.6529155198923</v>
      </c>
      <c r="G23" s="199">
        <f>SUMIFS(DATOS!$F:$F,DATOS!$D:$D,"VAB",DATOS!$A:$A,'Cuadro 2-Bocas del Toro'!G$6,DATOS!$B:$B,"VAB_04",DATOS!$G:$G,"0311",DATOS!$C:$C,"00")</f>
        <v>4356.6519004559414</v>
      </c>
      <c r="H23" s="200">
        <f>SUMIFS(DATOS!$F:$F,DATOS!$D:$D,"VAB",DATOS!$A:$A,'Cuadro 2-Bocas del Toro'!H$6,DATOS!$B:$B,"VAB_04",DATOS!$G:$G,"0311",DATOS!$C:$C,"00")</f>
        <v>4591.6488974819822</v>
      </c>
      <c r="I23" s="201">
        <f>SUMIFS(DATOS!$F:$F,DATOS!$D:$D,"VAB",DATOS!$A:$A,'Cuadro 2-Bocas del Toro'!I$6,DATOS!$B:$B,"VAB_04",DATOS!$G:$G,"0311",DATOS!$C:$C,"00")</f>
        <v>5461.6846425644471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Toro'!C$6,DATOS!$B:$B,"IMP_04",DATOS!$G:$G,"0311",DATOS!$C:$C,"00")</f>
        <v>174.63988703549654</v>
      </c>
      <c r="D24" s="196">
        <f>SUMIFS(DATOS!$F:$F,DATOS!$D:$D,"IMP",DATOS!$A:$A,'Cuadro 2-Bocas del Toro'!D$6,DATOS!$B:$B,"IMP_04",DATOS!$G:$G,"0311",DATOS!$C:$C,"00")</f>
        <v>173.73068740553597</v>
      </c>
      <c r="E24" s="196">
        <f>SUMIFS(DATOS!$F:$F,DATOS!$D:$D,"IMP",DATOS!$A:$A,'Cuadro 2-Bocas del Toro'!E$6,DATOS!$B:$B,"IMP_04",DATOS!$G:$G,"0311",DATOS!$C:$C,"00")</f>
        <v>114.86309774436334</v>
      </c>
      <c r="F24" s="196">
        <f>SUMIFS(DATOS!$F:$F,DATOS!$D:$D,"IMP",DATOS!$A:$A,'Cuadro 2-Bocas del Toro'!F$6,DATOS!$B:$B,"IMP_04",DATOS!$G:$G,"0311",DATOS!$C:$C,"00")</f>
        <v>140.31465340096341</v>
      </c>
      <c r="G24" s="196">
        <f>SUMIFS(DATOS!$F:$F,DATOS!$D:$D,"IMP",DATOS!$A:$A,'Cuadro 2-Bocas del Toro'!G$6,DATOS!$B:$B,"IMP_04",DATOS!$G:$G,"0311",DATOS!$C:$C,"00")</f>
        <v>159.58170609027411</v>
      </c>
      <c r="H24" s="197">
        <f>SUMIFS(DATOS!$F:$F,DATOS!$D:$D,"IMP",DATOS!$A:$A,'Cuadro 2-Bocas del Toro'!H$6,DATOS!$B:$B,"IMP_04",DATOS!$G:$G,"0311",DATOS!$C:$C,"00")</f>
        <v>168.84955318780288</v>
      </c>
      <c r="I24" s="198">
        <f>SUMIFS(DATOS!$F:$F,DATOS!$D:$D,"IMP",DATOS!$A:$A,'Cuadro 2-Bocas del Toro'!I$6,DATOS!$B:$B,"IMP_04",DATOS!$G:$G,"0311",DATOS!$C:$C,"00")</f>
        <v>179.30971567393476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Toro'!C$6,DATOS!$B:$B,"PIB_04",DATOS!$G:$G,"0311",DATOS!$C:$C,"00")</f>
        <v>3877.9095960471323</v>
      </c>
      <c r="D25" s="199">
        <f>SUMIFS(DATOS!$F:$F,DATOS!$D:$D,"PIB",DATOS!$A:$A,'Cuadro 2-Bocas del Toro'!D$6,DATOS!$B:$B,"PIB_04",DATOS!$G:$G,"0311",DATOS!$C:$C,"00")</f>
        <v>4095.8284103969809</v>
      </c>
      <c r="E25" s="199">
        <f>SUMIFS(DATOS!$F:$F,DATOS!$D:$D,"PIB",DATOS!$A:$A,'Cuadro 2-Bocas del Toro'!E$6,DATOS!$B:$B,"PIB_04",DATOS!$G:$G,"0311",DATOS!$C:$C,"00")</f>
        <v>3581.5862875678718</v>
      </c>
      <c r="F25" s="199">
        <f>SUMIFS(DATOS!$F:$F,DATOS!$D:$D,"PIB",DATOS!$A:$A,'Cuadro 2-Bocas del Toro'!F$6,DATOS!$B:$B,"PIB_04",DATOS!$G:$G,"0311",DATOS!$C:$C,"00")</f>
        <v>4328.5148184014279</v>
      </c>
      <c r="G25" s="199">
        <f>SUMIFS(DATOS!$F:$F,DATOS!$D:$D,"PIB",DATOS!$A:$A,'Cuadro 2-Bocas del Toro'!G$6,DATOS!$B:$B,"PIB_04",DATOS!$G:$G,"0311",DATOS!$C:$C,"00")</f>
        <v>4517.7988276627784</v>
      </c>
      <c r="H25" s="200">
        <f>SUMIFS(DATOS!$F:$F,DATOS!$D:$D,"PIB",DATOS!$A:$A,'Cuadro 2-Bocas del Toro'!H$6,DATOS!$B:$B,"PIB_04",DATOS!$G:$G,"0311",DATOS!$C:$C,"00")</f>
        <v>4762.1553127871603</v>
      </c>
      <c r="I25" s="201">
        <f>SUMIFS(DATOS!$F:$F,DATOS!$D:$D,"PIB",DATOS!$A:$A,'Cuadro 2-Bocas del Toro'!I$6,DATOS!$B:$B,"PIB_04",DATOS!$G:$G,"0311",DATOS!$C:$C,"00")</f>
        <v>5643.1172489350474</v>
      </c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0.25" customHeight="1" thickBot="1">
      <c r="A27" s="192" t="s">
        <v>200</v>
      </c>
      <c r="B27" s="192"/>
      <c r="C27" s="192"/>
      <c r="D27" s="192"/>
      <c r="E27" s="192"/>
      <c r="F27" s="192"/>
      <c r="G27" s="192"/>
      <c r="H27" s="192"/>
      <c r="I27" s="192"/>
      <c r="J27" s="204"/>
      <c r="K27" s="75"/>
    </row>
    <row r="28" spans="1:16" ht="32.1" customHeight="1" thickTop="1">
      <c r="A28" s="217" t="s">
        <v>29</v>
      </c>
      <c r="B28" s="217" t="s">
        <v>30</v>
      </c>
      <c r="C28" s="217" t="s">
        <v>97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9.0315832110057386</v>
      </c>
      <c r="D30" s="19">
        <f t="shared" ref="D30:I30" si="0">IFERROR(D7/D$25*100,"")</f>
        <v>8.8645107102071279</v>
      </c>
      <c r="E30" s="19">
        <f t="shared" si="0"/>
        <v>10.166948816871706</v>
      </c>
      <c r="F30" s="19">
        <f t="shared" si="0"/>
        <v>8.5440649748756847</v>
      </c>
      <c r="G30" s="19">
        <f t="shared" si="0"/>
        <v>8.243770380734917</v>
      </c>
      <c r="H30" s="19">
        <f t="shared" si="0"/>
        <v>7.4714465205110647</v>
      </c>
      <c r="I30" s="143">
        <f t="shared" si="0"/>
        <v>7.2239673209631938</v>
      </c>
      <c r="J30" s="206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46" si="1">IFERROR(C8/C$25*100,"")</f>
        <v>1.1418195117649503</v>
      </c>
      <c r="D31" s="19">
        <f t="shared" si="1"/>
        <v>1.513133859779439</v>
      </c>
      <c r="E31" s="19">
        <f t="shared" si="1"/>
        <v>1.010879957119684</v>
      </c>
      <c r="F31" s="19">
        <f t="shared" si="1"/>
        <v>1.4697145134873564</v>
      </c>
      <c r="G31" s="19">
        <f t="shared" si="1"/>
        <v>1.4647164944638393</v>
      </c>
      <c r="H31" s="19">
        <f t="shared" si="1"/>
        <v>1.5659353315601081</v>
      </c>
      <c r="I31" s="106">
        <f t="shared" si="1"/>
        <v>2.7983921244925321</v>
      </c>
      <c r="J31" s="206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si="1"/>
        <v>6.0905986636553813</v>
      </c>
      <c r="D32" s="19">
        <f t="shared" si="1"/>
        <v>5.5805247950839778</v>
      </c>
      <c r="E32" s="19">
        <f t="shared" si="1"/>
        <v>5.1810829312183921</v>
      </c>
      <c r="F32" s="19">
        <f t="shared" si="1"/>
        <v>4.4357320005290655</v>
      </c>
      <c r="G32" s="19">
        <f t="shared" si="1"/>
        <v>4.1982322883858076</v>
      </c>
      <c r="H32" s="19">
        <f t="shared" si="1"/>
        <v>4.6324069965553392</v>
      </c>
      <c r="I32" s="106">
        <f t="shared" si="1"/>
        <v>4.8662427296083939</v>
      </c>
      <c r="J32" s="206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si="1"/>
        <v>9.2090989023843424</v>
      </c>
      <c r="D33" s="19">
        <f t="shared" si="1"/>
        <v>8.3930131056471371</v>
      </c>
      <c r="E33" s="19">
        <f t="shared" si="1"/>
        <v>11.145512290668504</v>
      </c>
      <c r="F33" s="19">
        <f t="shared" si="1"/>
        <v>10.642914573570375</v>
      </c>
      <c r="G33" s="19">
        <f t="shared" si="1"/>
        <v>10.349840751939986</v>
      </c>
      <c r="H33" s="19">
        <f t="shared" si="1"/>
        <v>8.4303084864296061</v>
      </c>
      <c r="I33" s="106">
        <f t="shared" si="1"/>
        <v>7.9556082932600027</v>
      </c>
      <c r="J33" s="206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94</v>
      </c>
      <c r="C34" s="19">
        <f t="shared" si="1"/>
        <v>15.744474591191185</v>
      </c>
      <c r="D34" s="19">
        <f t="shared" si="1"/>
        <v>19.167907199815541</v>
      </c>
      <c r="E34" s="19">
        <f t="shared" si="1"/>
        <v>12.962729506465681</v>
      </c>
      <c r="F34" s="19">
        <f t="shared" si="1"/>
        <v>17.765119987067589</v>
      </c>
      <c r="G34" s="19">
        <f t="shared" si="1"/>
        <v>16.66258978044095</v>
      </c>
      <c r="H34" s="19">
        <f t="shared" si="1"/>
        <v>17.870945420741439</v>
      </c>
      <c r="I34" s="106">
        <f t="shared" si="1"/>
        <v>18.900207361453297</v>
      </c>
      <c r="J34" s="206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si="1"/>
        <v>9.0725496980369957</v>
      </c>
      <c r="D35" s="19">
        <f t="shared" si="1"/>
        <v>8.6221727301045856</v>
      </c>
      <c r="E35" s="19">
        <f t="shared" si="1"/>
        <v>8.6058793233932587</v>
      </c>
      <c r="F35" s="19">
        <f t="shared" si="1"/>
        <v>9.8544983687585503</v>
      </c>
      <c r="G35" s="19">
        <f t="shared" si="1"/>
        <v>13.186119804038086</v>
      </c>
      <c r="H35" s="19">
        <f t="shared" si="1"/>
        <v>11.335050565880476</v>
      </c>
      <c r="I35" s="106">
        <f t="shared" si="1"/>
        <v>9.8377207312215678</v>
      </c>
      <c r="J35" s="206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si="1"/>
        <v>5.6149813818255172</v>
      </c>
      <c r="D36" s="19">
        <f t="shared" si="1"/>
        <v>5.688930216266237</v>
      </c>
      <c r="E36" s="19">
        <f t="shared" si="1"/>
        <v>4.7388481084771321</v>
      </c>
      <c r="F36" s="19">
        <f t="shared" si="1"/>
        <v>5.0174696618297325</v>
      </c>
      <c r="G36" s="19">
        <f t="shared" si="1"/>
        <v>4.8575349937555874</v>
      </c>
      <c r="H36" s="19">
        <f t="shared" si="1"/>
        <v>6.2150916976546586</v>
      </c>
      <c r="I36" s="106">
        <f t="shared" si="1"/>
        <v>6.8309314397779142</v>
      </c>
      <c r="J36" s="206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si="1"/>
        <v>0.58307473589751979</v>
      </c>
      <c r="D37" s="19">
        <f t="shared" si="1"/>
        <v>0.48584324055843198</v>
      </c>
      <c r="E37" s="19">
        <f t="shared" si="1"/>
        <v>0.18104474303660914</v>
      </c>
      <c r="F37" s="19">
        <f t="shared" si="1"/>
        <v>0.22350725894063231</v>
      </c>
      <c r="G37" s="19">
        <f t="shared" si="1"/>
        <v>0.81442651343824179</v>
      </c>
      <c r="H37" s="19">
        <f t="shared" si="1"/>
        <v>0.83420640289905701</v>
      </c>
      <c r="I37" s="106">
        <f t="shared" si="1"/>
        <v>0.87396505339630004</v>
      </c>
      <c r="J37" s="206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si="1"/>
        <v>6.6483797072734996</v>
      </c>
      <c r="D38" s="19">
        <f t="shared" si="1"/>
        <v>6.2909270247522935</v>
      </c>
      <c r="E38" s="19">
        <f t="shared" si="1"/>
        <v>7.2839087184360825</v>
      </c>
      <c r="F38" s="19">
        <f t="shared" si="1"/>
        <v>6.3768349630947752</v>
      </c>
      <c r="G38" s="19">
        <f t="shared" si="1"/>
        <v>6.0320872158763388</v>
      </c>
      <c r="H38" s="19">
        <f t="shared" si="1"/>
        <v>6.1322492147121554</v>
      </c>
      <c r="I38" s="106">
        <f t="shared" si="1"/>
        <v>5.7886052631518421</v>
      </c>
      <c r="J38" s="206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si="1"/>
        <v>4.7061843760854307</v>
      </c>
      <c r="D39" s="19">
        <f t="shared" si="1"/>
        <v>4.5148871800568298</v>
      </c>
      <c r="E39" s="19">
        <f t="shared" si="1"/>
        <v>4.6575616510355227</v>
      </c>
      <c r="F39" s="19">
        <f t="shared" si="1"/>
        <v>4.2644129330913429</v>
      </c>
      <c r="G39" s="19">
        <f t="shared" si="1"/>
        <v>4.0268797514998953</v>
      </c>
      <c r="H39" s="19">
        <f t="shared" si="1"/>
        <v>3.854823711262465</v>
      </c>
      <c r="I39" s="106">
        <f t="shared" si="1"/>
        <v>3.8003615430270572</v>
      </c>
      <c r="J39" s="206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95</v>
      </c>
      <c r="C40" s="19">
        <f t="shared" si="1"/>
        <v>8.0083250974737386</v>
      </c>
      <c r="D40" s="19">
        <f t="shared" si="1"/>
        <v>8.5600446555691079</v>
      </c>
      <c r="E40" s="19">
        <f t="shared" si="1"/>
        <v>9.0064095203683081</v>
      </c>
      <c r="F40" s="19">
        <f t="shared" si="1"/>
        <v>8.5412236951818095</v>
      </c>
      <c r="G40" s="19">
        <f t="shared" si="1"/>
        <v>8.3405499708160669</v>
      </c>
      <c r="H40" s="19">
        <f t="shared" si="1"/>
        <v>8.1291786971469104</v>
      </c>
      <c r="I40" s="106">
        <f t="shared" si="1"/>
        <v>7.3860790046091962</v>
      </c>
      <c r="J40" s="206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si="1"/>
        <v>0.63587170554453898</v>
      </c>
      <c r="D41" s="19">
        <f t="shared" si="1"/>
        <v>0.61627500616489916</v>
      </c>
      <c r="E41" s="19">
        <f t="shared" si="1"/>
        <v>0.60580660469047121</v>
      </c>
      <c r="F41" s="19">
        <f t="shared" si="1"/>
        <v>0.5564761826598601</v>
      </c>
      <c r="G41" s="19">
        <f t="shared" si="1"/>
        <v>0.65729256438994943</v>
      </c>
      <c r="H41" s="19">
        <f t="shared" si="1"/>
        <v>0.6963757941351062</v>
      </c>
      <c r="I41" s="106">
        <f t="shared" si="1"/>
        <v>0.69359191292996092</v>
      </c>
      <c r="J41" s="206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si="1"/>
        <v>0.39137402047489989</v>
      </c>
      <c r="D42" s="19">
        <f t="shared" si="1"/>
        <v>0.46525426735391201</v>
      </c>
      <c r="E42" s="19">
        <f t="shared" si="1"/>
        <v>0.50973987031296386</v>
      </c>
      <c r="F42" s="19">
        <f t="shared" si="1"/>
        <v>0.67983744215814046</v>
      </c>
      <c r="G42" s="19">
        <f t="shared" si="1"/>
        <v>0.4435056413089743</v>
      </c>
      <c r="H42" s="19">
        <f t="shared" si="1"/>
        <v>0.37623695929422268</v>
      </c>
      <c r="I42" s="106">
        <f t="shared" si="1"/>
        <v>0.32987127579095615</v>
      </c>
      <c r="J42" s="206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si="1"/>
        <v>0.30940199287758147</v>
      </c>
      <c r="D43" s="19">
        <f t="shared" si="1"/>
        <v>0.25779842733422104</v>
      </c>
      <c r="E43" s="19">
        <f t="shared" si="1"/>
        <v>0.1543644855471194</v>
      </c>
      <c r="F43" s="19">
        <f t="shared" si="1"/>
        <v>5.1092737285413165E-2</v>
      </c>
      <c r="G43" s="19">
        <f t="shared" si="1"/>
        <v>0.11024696466353612</v>
      </c>
      <c r="H43" s="19">
        <f t="shared" si="1"/>
        <v>0.12614934738612932</v>
      </c>
      <c r="I43" s="106">
        <f t="shared" si="1"/>
        <v>0.16032121856971077</v>
      </c>
      <c r="J43" s="206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si="1"/>
        <v>0.76870798313682986</v>
      </c>
      <c r="D44" s="132">
        <f t="shared" si="1"/>
        <v>1.1168730800773452</v>
      </c>
      <c r="E44" s="132">
        <f t="shared" si="1"/>
        <v>1.0262986181300169</v>
      </c>
      <c r="F44" s="132">
        <f t="shared" si="1"/>
        <v>0.76248061647347876</v>
      </c>
      <c r="G44" s="132">
        <f t="shared" si="1"/>
        <v>0.7088786395476806</v>
      </c>
      <c r="H44" s="132">
        <f t="shared" si="1"/>
        <v>0.40603552103857876</v>
      </c>
      <c r="I44" s="117">
        <f t="shared" si="1"/>
        <v>0.5155114228798362</v>
      </c>
      <c r="J44" s="206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93</v>
      </c>
      <c r="C45" s="132">
        <f t="shared" si="1"/>
        <v>17.540120106358636</v>
      </c>
      <c r="D45" s="132">
        <f t="shared" si="1"/>
        <v>15.620254949589185</v>
      </c>
      <c r="E45" s="132">
        <f t="shared" si="1"/>
        <v>19.842267303181195</v>
      </c>
      <c r="F45" s="132">
        <f t="shared" si="1"/>
        <v>17.42197063074692</v>
      </c>
      <c r="G45" s="132">
        <f t="shared" si="1"/>
        <v>16.504961578830269</v>
      </c>
      <c r="H45" s="132">
        <f t="shared" si="1"/>
        <v>18.298808175586831</v>
      </c>
      <c r="I45" s="117">
        <f t="shared" si="1"/>
        <v>19.469306687353853</v>
      </c>
      <c r="J45" s="206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si="1"/>
        <v>95.496545684986785</v>
      </c>
      <c r="D46" s="144">
        <f t="shared" si="1"/>
        <v>95.758350448360289</v>
      </c>
      <c r="E46" s="144">
        <f t="shared" si="1"/>
        <v>96.756312062055429</v>
      </c>
      <c r="F46" s="144">
        <f t="shared" si="1"/>
        <v>96.722619447242025</v>
      </c>
      <c r="G46" s="144">
        <f t="shared" si="1"/>
        <v>96.433065451694659</v>
      </c>
      <c r="H46" s="144">
        <f t="shared" si="1"/>
        <v>96.419553666228808</v>
      </c>
      <c r="I46" s="129">
        <f t="shared" si="1"/>
        <v>96.78488682111221</v>
      </c>
      <c r="J46" s="207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8" si="2">IFERROR(C24/C$25*100,"")</f>
        <v>4.5034543150132267</v>
      </c>
      <c r="D47" s="132">
        <f t="shared" si="2"/>
        <v>4.2416495516397239</v>
      </c>
      <c r="E47" s="132">
        <f t="shared" si="2"/>
        <v>3.2070453849755718</v>
      </c>
      <c r="F47" s="132">
        <f t="shared" si="2"/>
        <v>3.2416350477641034</v>
      </c>
      <c r="G47" s="132">
        <f t="shared" si="2"/>
        <v>3.5322888906240109</v>
      </c>
      <c r="H47" s="132">
        <f t="shared" si="2"/>
        <v>3.5456540599256479</v>
      </c>
      <c r="I47" s="117">
        <f t="shared" si="2"/>
        <v>3.1774940651423389</v>
      </c>
      <c r="J47" s="206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si="2"/>
        <v>100</v>
      </c>
      <c r="D48" s="144">
        <f t="shared" si="2"/>
        <v>100</v>
      </c>
      <c r="E48" s="144">
        <f t="shared" si="2"/>
        <v>100</v>
      </c>
      <c r="F48" s="144">
        <f t="shared" si="2"/>
        <v>100</v>
      </c>
      <c r="G48" s="144">
        <f t="shared" si="2"/>
        <v>100</v>
      </c>
      <c r="H48" s="144">
        <f t="shared" si="2"/>
        <v>100</v>
      </c>
      <c r="I48" s="129">
        <f t="shared" si="2"/>
        <v>100</v>
      </c>
      <c r="K48" s="50"/>
    </row>
    <row r="49" spans="1:11">
      <c r="A49" s="7"/>
      <c r="B49" s="32"/>
      <c r="C49" s="15"/>
      <c r="D49" s="15"/>
      <c r="E49" s="15"/>
      <c r="F49" s="15"/>
      <c r="G49" s="15"/>
    </row>
    <row r="50" spans="1:11" s="74" customFormat="1" ht="20.25" customHeight="1" thickBot="1">
      <c r="A50" s="190" t="s">
        <v>201</v>
      </c>
      <c r="B50" s="190"/>
      <c r="C50" s="190"/>
      <c r="D50" s="190"/>
      <c r="E50" s="190"/>
      <c r="F50" s="190"/>
      <c r="G50" s="190"/>
      <c r="H50" s="190"/>
      <c r="I50" s="190"/>
      <c r="J50" s="204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3.6656691285905367</v>
      </c>
      <c r="E53" s="20">
        <f t="shared" ref="E53:I53" si="3">IFERROR(E7/D7*100-100,"")</f>
        <v>0.292748369945798</v>
      </c>
      <c r="F53" s="20">
        <f t="shared" si="3"/>
        <v>1.5634383512658445</v>
      </c>
      <c r="G53" s="20">
        <f t="shared" si="3"/>
        <v>0.7046035214833779</v>
      </c>
      <c r="H53" s="19">
        <f t="shared" si="3"/>
        <v>-4.4665476072252801</v>
      </c>
      <c r="I53" s="143">
        <f t="shared" si="3"/>
        <v>14.574138126235709</v>
      </c>
    </row>
    <row r="54" spans="1:11" ht="32.25" customHeight="1">
      <c r="A54" s="56" t="s">
        <v>1</v>
      </c>
      <c r="B54" s="57" t="s">
        <v>31</v>
      </c>
      <c r="D54" s="20">
        <f t="shared" ref="D54:I69" si="4">IFERROR(D8/C8*100-100,"")</f>
        <v>39.966455074188616</v>
      </c>
      <c r="E54" s="20">
        <f t="shared" si="4"/>
        <v>-41.580760287207362</v>
      </c>
      <c r="F54" s="20">
        <f t="shared" si="4"/>
        <v>75.710165199201498</v>
      </c>
      <c r="G54" s="20">
        <f t="shared" si="4"/>
        <v>4.0180167642848659</v>
      </c>
      <c r="H54" s="19">
        <f t="shared" si="4"/>
        <v>12.692994123260675</v>
      </c>
      <c r="I54" s="106">
        <f t="shared" si="4"/>
        <v>111.76308994268274</v>
      </c>
    </row>
    <row r="55" spans="1:11" ht="32.25" customHeight="1">
      <c r="A55" s="56" t="s">
        <v>2</v>
      </c>
      <c r="B55" s="57" t="s">
        <v>3</v>
      </c>
      <c r="D55" s="20">
        <f t="shared" si="4"/>
        <v>-3.2259017945484487</v>
      </c>
      <c r="E55" s="20">
        <f t="shared" si="4"/>
        <v>-18.81436978475233</v>
      </c>
      <c r="F55" s="20">
        <f t="shared" si="4"/>
        <v>3.4685219023557181</v>
      </c>
      <c r="G55" s="20">
        <f t="shared" si="4"/>
        <v>-1.2154228300730239</v>
      </c>
      <c r="H55" s="19">
        <f t="shared" si="4"/>
        <v>16.309961351211925</v>
      </c>
      <c r="I55" s="106">
        <f t="shared" si="4"/>
        <v>24.480859257026808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4"/>
        <v>-3.7402259606614621</v>
      </c>
      <c r="E56" s="20">
        <f t="shared" si="4"/>
        <v>16.122345238191755</v>
      </c>
      <c r="F56" s="20">
        <f t="shared" si="4"/>
        <v>15.404842102793509</v>
      </c>
      <c r="G56" s="20">
        <f t="shared" si="4"/>
        <v>1.4988381771447052</v>
      </c>
      <c r="H56" s="19">
        <f t="shared" si="4"/>
        <v>-14.140873408197322</v>
      </c>
      <c r="I56" s="106">
        <f t="shared" si="4"/>
        <v>11.82668309784323</v>
      </c>
    </row>
    <row r="57" spans="1:11" ht="32.25" customHeight="1">
      <c r="A57" s="56" t="s">
        <v>4</v>
      </c>
      <c r="B57" s="57" t="s">
        <v>94</v>
      </c>
      <c r="D57" s="20">
        <f t="shared" si="4"/>
        <v>28.585085953026947</v>
      </c>
      <c r="E57" s="20">
        <f t="shared" si="4"/>
        <v>-40.863526155020878</v>
      </c>
      <c r="F57" s="20">
        <f t="shared" si="4"/>
        <v>65.628541061670035</v>
      </c>
      <c r="G57" s="20">
        <f t="shared" si="4"/>
        <v>-2.1045883069911895</v>
      </c>
      <c r="H57" s="19">
        <f t="shared" si="4"/>
        <v>13.052896288737585</v>
      </c>
      <c r="I57" s="106">
        <f t="shared" si="4"/>
        <v>25.324089777797056</v>
      </c>
    </row>
    <row r="58" spans="1:11" ht="32.25" customHeight="1">
      <c r="A58" s="56" t="s">
        <v>5</v>
      </c>
      <c r="B58" s="57" t="s">
        <v>54</v>
      </c>
      <c r="D58" s="20">
        <f t="shared" si="4"/>
        <v>0.37635866993906575</v>
      </c>
      <c r="E58" s="20">
        <f t="shared" si="4"/>
        <v>-12.720510488504317</v>
      </c>
      <c r="F58" s="20">
        <f t="shared" si="4"/>
        <v>38.3893788638606</v>
      </c>
      <c r="G58" s="20">
        <f t="shared" si="4"/>
        <v>39.65949748785431</v>
      </c>
      <c r="H58" s="19">
        <f t="shared" si="4"/>
        <v>-9.3885434541947319</v>
      </c>
      <c r="I58" s="106">
        <f t="shared" si="4"/>
        <v>2.8457966165826178</v>
      </c>
    </row>
    <row r="59" spans="1:11" ht="32.25" customHeight="1">
      <c r="A59" s="56" t="s">
        <v>6</v>
      </c>
      <c r="B59" s="57" t="s">
        <v>55</v>
      </c>
      <c r="D59" s="20">
        <f t="shared" si="4"/>
        <v>7.0104917270624725</v>
      </c>
      <c r="E59" s="20">
        <f t="shared" si="4"/>
        <v>-27.159008826897463</v>
      </c>
      <c r="F59" s="20">
        <f t="shared" si="4"/>
        <v>27.960360947253918</v>
      </c>
      <c r="G59" s="20">
        <f t="shared" si="4"/>
        <v>1.0460084351840493</v>
      </c>
      <c r="H59" s="19">
        <f t="shared" si="4"/>
        <v>34.867798888164259</v>
      </c>
      <c r="I59" s="106">
        <f t="shared" si="4"/>
        <v>30.241054645079629</v>
      </c>
    </row>
    <row r="60" spans="1:11" ht="32.25" customHeight="1">
      <c r="A60" s="56" t="s">
        <v>7</v>
      </c>
      <c r="B60" s="57" t="s">
        <v>32</v>
      </c>
      <c r="D60" s="20">
        <f t="shared" si="4"/>
        <v>-11.993243686523741</v>
      </c>
      <c r="E60" s="20">
        <f t="shared" si="4"/>
        <v>-67.414572842624125</v>
      </c>
      <c r="F60" s="20">
        <f t="shared" si="4"/>
        <v>49.200130724483472</v>
      </c>
      <c r="G60" s="20">
        <f t="shared" si="4"/>
        <v>280.31920000112075</v>
      </c>
      <c r="H60" s="19">
        <f t="shared" si="4"/>
        <v>7.9688019463363844</v>
      </c>
      <c r="I60" s="106">
        <f t="shared" si="4"/>
        <v>24.14695351549814</v>
      </c>
    </row>
    <row r="61" spans="1:11" ht="32.25" customHeight="1">
      <c r="A61" s="56" t="s">
        <v>8</v>
      </c>
      <c r="B61" s="57" t="s">
        <v>56</v>
      </c>
      <c r="D61" s="20">
        <f t="shared" si="4"/>
        <v>-5.9180585273537645E-2</v>
      </c>
      <c r="E61" s="20">
        <f t="shared" si="4"/>
        <v>1.2473142694338151</v>
      </c>
      <c r="F61" s="20">
        <f t="shared" si="4"/>
        <v>5.8045081600472059</v>
      </c>
      <c r="G61" s="20">
        <f t="shared" si="4"/>
        <v>-1.2697095421821274</v>
      </c>
      <c r="H61" s="19">
        <f t="shared" si="4"/>
        <v>7.1590490733700847</v>
      </c>
      <c r="I61" s="106">
        <f t="shared" si="4"/>
        <v>11.858671568337002</v>
      </c>
    </row>
    <row r="62" spans="1:11" ht="32.25" customHeight="1">
      <c r="A62" s="56" t="s">
        <v>9</v>
      </c>
      <c r="B62" s="57" t="s">
        <v>57</v>
      </c>
      <c r="D62" s="20">
        <f t="shared" si="4"/>
        <v>1.3262659696223125</v>
      </c>
      <c r="E62" s="20">
        <f t="shared" si="4"/>
        <v>-9.7919335038663178</v>
      </c>
      <c r="F62" s="20">
        <f t="shared" si="4"/>
        <v>10.653238640013512</v>
      </c>
      <c r="G62" s="20">
        <f t="shared" si="4"/>
        <v>-1.4407502115420385</v>
      </c>
      <c r="H62" s="19">
        <f t="shared" si="4"/>
        <v>0.9049630112139937</v>
      </c>
      <c r="I62" s="106">
        <f t="shared" si="4"/>
        <v>16.825032758313569</v>
      </c>
    </row>
    <row r="63" spans="1:11" ht="32.25" customHeight="1">
      <c r="A63" s="56" t="s">
        <v>70</v>
      </c>
      <c r="B63" s="57" t="s">
        <v>95</v>
      </c>
      <c r="D63" s="20">
        <f t="shared" si="4"/>
        <v>12.895962123605173</v>
      </c>
      <c r="E63" s="20">
        <f t="shared" si="4"/>
        <v>-7.995445950375597</v>
      </c>
      <c r="F63" s="20">
        <f t="shared" si="4"/>
        <v>14.612476268878609</v>
      </c>
      <c r="G63" s="20">
        <f t="shared" si="4"/>
        <v>1.92074094222734</v>
      </c>
      <c r="H63" s="19">
        <f t="shared" si="4"/>
        <v>2.7374184405752828</v>
      </c>
      <c r="I63" s="106">
        <f t="shared" si="4"/>
        <v>7.667045774366926</v>
      </c>
    </row>
    <row r="64" spans="1:11" ht="32.25" customHeight="1">
      <c r="A64" s="56" t="s">
        <v>10</v>
      </c>
      <c r="B64" s="57" t="s">
        <v>58</v>
      </c>
      <c r="D64" s="20">
        <f t="shared" si="4"/>
        <v>2.3644430688647162</v>
      </c>
      <c r="E64" s="20">
        <f t="shared" si="4"/>
        <v>-14.040651816800036</v>
      </c>
      <c r="F64" s="20">
        <f t="shared" si="4"/>
        <v>11.013569560034114</v>
      </c>
      <c r="G64" s="20">
        <f t="shared" si="4"/>
        <v>23.282126791149921</v>
      </c>
      <c r="H64" s="19">
        <f t="shared" si="4"/>
        <v>11.676453681861659</v>
      </c>
      <c r="I64" s="106">
        <f t="shared" si="4"/>
        <v>18.025506404132784</v>
      </c>
    </row>
    <row r="65" spans="1:9" ht="32.25" customHeight="1">
      <c r="A65" s="56" t="s">
        <v>59</v>
      </c>
      <c r="B65" s="57" t="s">
        <v>60</v>
      </c>
      <c r="D65" s="20">
        <f t="shared" si="4"/>
        <v>25.557437990214012</v>
      </c>
      <c r="E65" s="20">
        <f t="shared" si="4"/>
        <v>-4.1941775555660286</v>
      </c>
      <c r="F65" s="20">
        <f t="shared" si="4"/>
        <v>61.183271246812126</v>
      </c>
      <c r="G65" s="20">
        <f t="shared" si="4"/>
        <v>-31.910201595415344</v>
      </c>
      <c r="H65" s="19">
        <f t="shared" si="4"/>
        <v>-10.579112798487373</v>
      </c>
      <c r="I65" s="106">
        <f t="shared" si="4"/>
        <v>3.895936662315421</v>
      </c>
    </row>
    <row r="66" spans="1:9" ht="32.25" customHeight="1">
      <c r="A66" s="56" t="s">
        <v>66</v>
      </c>
      <c r="B66" s="57" t="s">
        <v>67</v>
      </c>
      <c r="D66" s="20">
        <f t="shared" si="4"/>
        <v>-11.996239436436312</v>
      </c>
      <c r="E66" s="20">
        <f t="shared" si="4"/>
        <v>-47.639861008500482</v>
      </c>
      <c r="F66" s="20">
        <f t="shared" si="4"/>
        <v>-59.99859269498014</v>
      </c>
      <c r="G66" s="20">
        <f t="shared" si="4"/>
        <v>125.21403439078904</v>
      </c>
      <c r="H66" s="19">
        <f t="shared" si="4"/>
        <v>20.613253856426255</v>
      </c>
      <c r="I66" s="106">
        <f t="shared" si="4"/>
        <v>50.598801464195532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4"/>
        <v>53.456930050413547</v>
      </c>
      <c r="E67" s="23">
        <f t="shared" si="4"/>
        <v>-19.646724417975108</v>
      </c>
      <c r="F67" s="24">
        <f t="shared" si="4"/>
        <v>-10.2119471504503</v>
      </c>
      <c r="G67" s="24">
        <f t="shared" si="4"/>
        <v>-2.9644074690604896</v>
      </c>
      <c r="H67" s="132">
        <f t="shared" si="4"/>
        <v>-39.623378799551723</v>
      </c>
      <c r="I67" s="131">
        <f t="shared" si="4"/>
        <v>50.449165443139151</v>
      </c>
    </row>
    <row r="68" spans="1:9" ht="32.25" customHeight="1">
      <c r="A68" s="25"/>
      <c r="B68" s="78" t="s">
        <v>93</v>
      </c>
      <c r="C68" s="82"/>
      <c r="D68" s="24">
        <f t="shared" si="4"/>
        <v>-5.9411577229373904</v>
      </c>
      <c r="E68" s="24">
        <f t="shared" si="4"/>
        <v>11.080248429503655</v>
      </c>
      <c r="F68" s="24">
        <f t="shared" si="4"/>
        <v>6.1132146274744912</v>
      </c>
      <c r="G68" s="24">
        <f t="shared" si="4"/>
        <v>-1.1207371305555967</v>
      </c>
      <c r="H68" s="24">
        <f t="shared" si="4"/>
        <v>16.865131959615766</v>
      </c>
      <c r="I68" s="117">
        <f t="shared" si="4"/>
        <v>26.079129119606975</v>
      </c>
    </row>
    <row r="69" spans="1:9" ht="32.25" customHeight="1">
      <c r="A69" s="34"/>
      <c r="B69" s="79" t="s">
        <v>33</v>
      </c>
      <c r="C69" s="82"/>
      <c r="D69" s="33">
        <f t="shared" si="4"/>
        <v>5.9090487913237268</v>
      </c>
      <c r="E69" s="33">
        <f t="shared" si="4"/>
        <v>-11.643945410726957</v>
      </c>
      <c r="F69" s="33">
        <f t="shared" si="4"/>
        <v>20.812600609218563</v>
      </c>
      <c r="G69" s="88">
        <f t="shared" si="4"/>
        <v>4.0604986457287708</v>
      </c>
      <c r="H69" s="88">
        <f t="shared" si="4"/>
        <v>5.3939814884326012</v>
      </c>
      <c r="I69" s="129">
        <f t="shared" si="4"/>
        <v>18.948220225627097</v>
      </c>
    </row>
    <row r="70" spans="1:9" ht="32.25" customHeight="1">
      <c r="A70" s="21" t="s">
        <v>25</v>
      </c>
      <c r="B70" s="80" t="s">
        <v>34</v>
      </c>
      <c r="C70" s="82"/>
      <c r="D70" s="24">
        <f t="shared" ref="D70:I71" si="5">IFERROR(D24/C24*100-100,"")</f>
        <v>-0.52061395904119934</v>
      </c>
      <c r="E70" s="24">
        <f t="shared" si="5"/>
        <v>-33.884393448440818</v>
      </c>
      <c r="F70" s="24">
        <f t="shared" si="5"/>
        <v>22.158165813396806</v>
      </c>
      <c r="G70" s="24">
        <f t="shared" si="5"/>
        <v>13.731319019299534</v>
      </c>
      <c r="H70" s="24">
        <f t="shared" si="5"/>
        <v>5.8075874262717946</v>
      </c>
      <c r="I70" s="117">
        <f t="shared" si="5"/>
        <v>6.1949601219835984</v>
      </c>
    </row>
    <row r="71" spans="1:9" ht="32.25" customHeight="1">
      <c r="A71" s="30"/>
      <c r="B71" s="81" t="s">
        <v>35</v>
      </c>
      <c r="C71" s="82"/>
      <c r="D71" s="31">
        <f t="shared" si="5"/>
        <v>5.6194918667516163</v>
      </c>
      <c r="E71" s="31">
        <f t="shared" si="5"/>
        <v>-12.555265291967316</v>
      </c>
      <c r="F71" s="31">
        <f t="shared" si="5"/>
        <v>20.854684792217284</v>
      </c>
      <c r="G71" s="31">
        <f t="shared" si="5"/>
        <v>4.3729550943585593</v>
      </c>
      <c r="H71" s="31">
        <f t="shared" si="5"/>
        <v>5.4087509082558256</v>
      </c>
      <c r="I71" s="129">
        <f t="shared" si="5"/>
        <v>18.499227309583148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>
      <c r="A86" s="18"/>
      <c r="B86" s="101"/>
      <c r="C86" s="10"/>
      <c r="D86" s="101"/>
      <c r="E86" s="101"/>
    </row>
    <row r="87" spans="1:8">
      <c r="A87" s="18"/>
      <c r="B87" s="101"/>
      <c r="C87" s="101"/>
      <c r="D87" s="101"/>
      <c r="E87" s="101"/>
    </row>
    <row r="88" spans="1:8">
      <c r="A88" s="61"/>
      <c r="B88" s="101"/>
      <c r="C88" s="101"/>
      <c r="D88" s="101"/>
      <c r="E88" s="101"/>
    </row>
    <row r="89" spans="1:8">
      <c r="A89" s="64"/>
      <c r="B89" s="45"/>
      <c r="C89" s="45"/>
      <c r="D89" s="101"/>
      <c r="E89" s="101"/>
    </row>
    <row r="90" spans="1:8">
      <c r="A90" s="64"/>
      <c r="B90" s="45"/>
      <c r="C90" s="45"/>
      <c r="D90" s="101"/>
      <c r="E90" s="101"/>
    </row>
    <row r="91" spans="1:8">
      <c r="A91" s="64"/>
      <c r="B91" s="45"/>
      <c r="C91" s="45"/>
      <c r="D91" s="101"/>
      <c r="E91" s="101"/>
    </row>
    <row r="92" spans="1:8">
      <c r="A92" s="64"/>
      <c r="B92" s="45"/>
      <c r="C92" s="45"/>
      <c r="D92" s="101"/>
      <c r="E92" s="101"/>
    </row>
    <row r="93" spans="1:8">
      <c r="A93" s="64"/>
      <c r="B93" s="45"/>
      <c r="C93" s="45"/>
      <c r="D93" s="101"/>
      <c r="E93" s="101"/>
    </row>
    <row r="94" spans="1:8">
      <c r="A94" s="91"/>
      <c r="B94" s="101"/>
      <c r="C94" s="59"/>
      <c r="D94" s="101"/>
      <c r="E94" s="101"/>
    </row>
    <row r="95" spans="1:8">
      <c r="A95" s="7"/>
      <c r="B95" s="101"/>
      <c r="C95" s="18"/>
      <c r="D95" s="101"/>
      <c r="E95" s="101"/>
    </row>
    <row r="96" spans="1:8">
      <c r="B96" s="101"/>
      <c r="C96" s="18"/>
      <c r="D96" s="101"/>
      <c r="E96" s="101"/>
    </row>
    <row r="97" spans="1:5">
      <c r="B97" s="101"/>
      <c r="C97" s="18"/>
      <c r="D97" s="101"/>
      <c r="E97" s="101"/>
    </row>
    <row r="98" spans="1:5">
      <c r="B98" s="101"/>
      <c r="C98" s="18"/>
      <c r="D98" s="101"/>
      <c r="E98" s="101"/>
    </row>
    <row r="99" spans="1:5">
      <c r="A99" s="61"/>
      <c r="B99" s="101"/>
      <c r="C99" s="101"/>
      <c r="D99" s="101"/>
      <c r="E99" s="101"/>
    </row>
    <row r="100" spans="1:5">
      <c r="A100" s="61"/>
      <c r="B100" s="101"/>
      <c r="C100" s="101"/>
      <c r="D100" s="101"/>
      <c r="E100" s="101"/>
    </row>
  </sheetData>
  <mergeCells count="9">
    <mergeCell ref="A73:E73"/>
    <mergeCell ref="A28:A29"/>
    <mergeCell ref="A51:A52"/>
    <mergeCell ref="A5:A6"/>
    <mergeCell ref="B28:B29"/>
    <mergeCell ref="C28:I28"/>
    <mergeCell ref="B51:C52"/>
    <mergeCell ref="B5:B6"/>
    <mergeCell ref="C5:I5"/>
  </mergeCells>
  <hyperlinks>
    <hyperlink ref="K2" location="Índice!A1" display="Índice"/>
    <hyperlink ref="K3" location="'Cuadro 5-Chiriquí'!A27" display="Composición "/>
    <hyperlink ref="K4" location="'Cuadro 5-Chiriquí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6" max="8" man="1"/>
    <brk id="4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P2"/>
  <sheetViews>
    <sheetView zoomScaleNormal="10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57" orientation="portrait" r:id="rId1"/>
  <colBreaks count="1" manualBreakCount="1">
    <brk id="14" max="5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86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164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215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101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89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Toro'!C$6,DATOS!$B:$B,"B100101_05",DATOS!$G:$G,"0311",DATOS!$C:$C,"00")</f>
        <v>84.483093178376095</v>
      </c>
      <c r="D7" s="194">
        <f>SUMIFS(DATOS!$F:$F,DATOS!$D:$D,$A7,DATOS!$A:$A,'Cuadro 2-Bocas del Toro'!D$6,DATOS!$B:$B,"B100101_05",DATOS!$G:$G,"0311",DATOS!$C:$C,"00")</f>
        <v>93.226917513645489</v>
      </c>
      <c r="E7" s="194">
        <f>SUMIFS(DATOS!$F:$F,DATOS!$D:$D,$A7,DATOS!$A:$A,'Cuadro 2-Bocas del Toro'!E$6,DATOS!$B:$B,"B100101_05",DATOS!$G:$G,"0311",DATOS!$C:$C,"00")</f>
        <v>101.08057416052556</v>
      </c>
      <c r="F7" s="194">
        <f>SUMIFS(DATOS!$F:$F,DATOS!$D:$D,$A7,DATOS!$A:$A,'Cuadro 2-Bocas del Toro'!F$6,DATOS!$B:$B,"B100101_05",DATOS!$G:$G,"0311",DATOS!$C:$C,"00")</f>
        <v>108.20407398189394</v>
      </c>
      <c r="G7" s="194">
        <f>SUMIFS(DATOS!$F:$F,DATOS!$D:$D,$A7,DATOS!$A:$A,'Cuadro 2-Bocas del Toro'!G$6,DATOS!$B:$B,"B100101_05",DATOS!$G:$G,"0311",DATOS!$C:$C,"00")</f>
        <v>107.75547060834542</v>
      </c>
      <c r="H7" s="194">
        <f>SUMIFS(DATOS!$F:$F,DATOS!$D:$D,$A7,DATOS!$A:$A,'Cuadro 2-Bocas del Toro'!H$6,DATOS!$B:$B,"B100101_05",DATOS!$G:$G,"0311",DATOS!$C:$C,"00")</f>
        <v>127.77986793938399</v>
      </c>
      <c r="I7" s="195">
        <f>SUMIFS(DATOS!$F:$F,DATOS!$D:$D,$A7,DATOS!$A:$A,'Cuadro 2-Bocas del Toro'!I$6,DATOS!$B:$B,"B100101_05",DATOS!$G:$G,"0311",DATOS!$C:$C,"00")</f>
        <v>127.29039553122381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Toro'!C$6,DATOS!$B:$B,"B100101_05",DATOS!$G:$G,"0311",DATOS!$C:$C,"00")</f>
        <v>0.9608839795837063</v>
      </c>
      <c r="D8" s="194">
        <f>SUMIFS(DATOS!$F:$F,DATOS!$D:$D,$A8,DATOS!$A:$A,'Cuadro 2-Bocas del Toro'!D$6,DATOS!$B:$B,"B100101_05",DATOS!$G:$G,"0311",DATOS!$C:$C,"00")</f>
        <v>1.2065977782413213</v>
      </c>
      <c r="E8" s="194">
        <f>SUMIFS(DATOS!$F:$F,DATOS!$D:$D,$A8,DATOS!$A:$A,'Cuadro 2-Bocas del Toro'!E$6,DATOS!$B:$B,"B100101_05",DATOS!$G:$G,"0311",DATOS!$C:$C,"00")</f>
        <v>0.24131421005049766</v>
      </c>
      <c r="F8" s="194">
        <f>SUMIFS(DATOS!$F:$F,DATOS!$D:$D,$A8,DATOS!$A:$A,'Cuadro 2-Bocas del Toro'!F$6,DATOS!$B:$B,"B100101_05",DATOS!$G:$G,"0311",DATOS!$C:$C,"00")</f>
        <v>0.28825793784489218</v>
      </c>
      <c r="G8" s="194">
        <f>SUMIFS(DATOS!$F:$F,DATOS!$D:$D,$A8,DATOS!$A:$A,'Cuadro 2-Bocas del Toro'!G$6,DATOS!$B:$B,"B100101_05",DATOS!$G:$G,"0311",DATOS!$C:$C,"00")</f>
        <v>0.47064941076220462</v>
      </c>
      <c r="H8" s="194">
        <f>SUMIFS(DATOS!$F:$F,DATOS!$D:$D,$A8,DATOS!$A:$A,'Cuadro 2-Bocas del Toro'!H$6,DATOS!$B:$B,"B100101_05",DATOS!$G:$G,"0311",DATOS!$C:$C,"00")</f>
        <v>1.1040005176919889</v>
      </c>
      <c r="I8" s="195">
        <f>SUMIFS(DATOS!$F:$F,DATOS!$D:$D,$A8,DATOS!$A:$A,'Cuadro 2-Bocas del Toro'!I$6,DATOS!$B:$B,"B100101_05",DATOS!$G:$G,"0311",DATOS!$C:$C,"00")</f>
        <v>1.6920218930338786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Toro'!C$6,DATOS!$B:$B,"B100101_05",DATOS!$G:$G,"0311",DATOS!$C:$C,"00")</f>
        <v>0.47792699188139237</v>
      </c>
      <c r="D9" s="194">
        <f>SUMIFS(DATOS!$F:$F,DATOS!$D:$D,$A9,DATOS!$A:$A,'Cuadro 2-Bocas del Toro'!D$6,DATOS!$B:$B,"B100101_05",DATOS!$G:$G,"0311",DATOS!$C:$C,"00")</f>
        <v>0.47078215618503799</v>
      </c>
      <c r="E9" s="194">
        <f>SUMIFS(DATOS!$F:$F,DATOS!$D:$D,$A9,DATOS!$A:$A,'Cuadro 2-Bocas del Toro'!E$6,DATOS!$B:$B,"B100101_05",DATOS!$G:$G,"0311",DATOS!$C:$C,"00")</f>
        <v>0.42698445004994751</v>
      </c>
      <c r="F9" s="194">
        <f>SUMIFS(DATOS!$F:$F,DATOS!$D:$D,$A9,DATOS!$A:$A,'Cuadro 2-Bocas del Toro'!F$6,DATOS!$B:$B,"B100101_05",DATOS!$G:$G,"0311",DATOS!$C:$C,"00")</f>
        <v>0.51015972125659248</v>
      </c>
      <c r="G9" s="194">
        <f>SUMIFS(DATOS!$F:$F,DATOS!$D:$D,$A9,DATOS!$A:$A,'Cuadro 2-Bocas del Toro'!G$6,DATOS!$B:$B,"B100101_05",DATOS!$G:$G,"0311",DATOS!$C:$C,"00")</f>
        <v>0.55539260056532191</v>
      </c>
      <c r="H9" s="194">
        <f>SUMIFS(DATOS!$F:$F,DATOS!$D:$D,$A9,DATOS!$A:$A,'Cuadro 2-Bocas del Toro'!H$6,DATOS!$B:$B,"B100101_05",DATOS!$G:$G,"0311",DATOS!$C:$C,"00")</f>
        <v>0.5292898329312189</v>
      </c>
      <c r="I9" s="195">
        <f>SUMIFS(DATOS!$F:$F,DATOS!$D:$D,$A9,DATOS!$A:$A,'Cuadro 2-Bocas del Toro'!I$6,DATOS!$B:$B,"B100101_05",DATOS!$G:$G,"0311",DATOS!$C:$C,"00")</f>
        <v>0.54714971259666767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Toro'!C$6,DATOS!$B:$B,"B100101_05",DATOS!$G:$G,"0311",DATOS!$C:$C,"00")</f>
        <v>1.951416394864862</v>
      </c>
      <c r="D10" s="194">
        <f>SUMIFS(DATOS!$F:$F,DATOS!$D:$D,$A10,DATOS!$A:$A,'Cuadro 2-Bocas del Toro'!D$6,DATOS!$B:$B,"B100101_05",DATOS!$G:$G,"0311",DATOS!$C:$C,"00")</f>
        <v>2.0746442748032932</v>
      </c>
      <c r="E10" s="194">
        <f>SUMIFS(DATOS!$F:$F,DATOS!$D:$D,$A10,DATOS!$A:$A,'Cuadro 2-Bocas del Toro'!E$6,DATOS!$B:$B,"B100101_05",DATOS!$G:$G,"0311",DATOS!$C:$C,"00")</f>
        <v>2.3189805172474198</v>
      </c>
      <c r="F10" s="194">
        <f>SUMIFS(DATOS!$F:$F,DATOS!$D:$D,$A10,DATOS!$A:$A,'Cuadro 2-Bocas del Toro'!F$6,DATOS!$B:$B,"B100101_05",DATOS!$G:$G,"0311",DATOS!$C:$C,"00")</f>
        <v>2.2569038330216329</v>
      </c>
      <c r="G10" s="194">
        <f>SUMIFS(DATOS!$F:$F,DATOS!$D:$D,$A10,DATOS!$A:$A,'Cuadro 2-Bocas del Toro'!G$6,DATOS!$B:$B,"B100101_05",DATOS!$G:$G,"0311",DATOS!$C:$C,"00")</f>
        <v>2.5413153232170949</v>
      </c>
      <c r="H10" s="194">
        <f>SUMIFS(DATOS!$F:$F,DATOS!$D:$D,$A10,DATOS!$A:$A,'Cuadro 2-Bocas del Toro'!H$6,DATOS!$B:$B,"B100101_05",DATOS!$G:$G,"0311",DATOS!$C:$C,"00")</f>
        <v>2.6541602540468192</v>
      </c>
      <c r="I10" s="195">
        <f>SUMIFS(DATOS!$F:$F,DATOS!$D:$D,$A10,DATOS!$A:$A,'Cuadro 2-Bocas del Toro'!I$6,DATOS!$B:$B,"B100101_05",DATOS!$G:$G,"0311",DATOS!$C:$C,"00")</f>
        <v>2.9733571214132302</v>
      </c>
    </row>
    <row r="11" spans="1:12" ht="32.25" customHeight="1">
      <c r="A11" s="56" t="s">
        <v>4</v>
      </c>
      <c r="B11" s="60" t="s">
        <v>94</v>
      </c>
      <c r="C11" s="194">
        <f>SUMIFS(DATOS!$F:$F,DATOS!$D:$D,$A11,DATOS!$A:$A,'Cuadro 2-Bocas del Toro'!C$6,DATOS!$B:$B,"B100101_05",DATOS!$G:$G,"0311",DATOS!$C:$C,"00")</f>
        <v>13.249566368202542</v>
      </c>
      <c r="D11" s="194">
        <f>SUMIFS(DATOS!$F:$F,DATOS!$D:$D,$A11,DATOS!$A:$A,'Cuadro 2-Bocas del Toro'!D$6,DATOS!$B:$B,"B100101_05",DATOS!$G:$G,"0311",DATOS!$C:$C,"00")</f>
        <v>15.284803846901223</v>
      </c>
      <c r="E11" s="194">
        <f>SUMIFS(DATOS!$F:$F,DATOS!$D:$D,$A11,DATOS!$A:$A,'Cuadro 2-Bocas del Toro'!E$6,DATOS!$B:$B,"B100101_05",DATOS!$G:$G,"0311",DATOS!$C:$C,"00")</f>
        <v>3.0944236344975753</v>
      </c>
      <c r="F11" s="194">
        <f>SUMIFS(DATOS!$F:$F,DATOS!$D:$D,$A11,DATOS!$A:$A,'Cuadro 2-Bocas del Toro'!F$6,DATOS!$B:$B,"B100101_05",DATOS!$G:$G,"0311",DATOS!$C:$C,"00")</f>
        <v>3.4843071943871342</v>
      </c>
      <c r="G11" s="194">
        <f>SUMIFS(DATOS!$F:$F,DATOS!$D:$D,$A11,DATOS!$A:$A,'Cuadro 2-Bocas del Toro'!G$6,DATOS!$B:$B,"B100101_05",DATOS!$G:$G,"0311",DATOS!$C:$C,"00")</f>
        <v>5.3540996442506277</v>
      </c>
      <c r="H11" s="194">
        <f>SUMIFS(DATOS!$F:$F,DATOS!$D:$D,$A11,DATOS!$A:$A,'Cuadro 2-Bocas del Toro'!H$6,DATOS!$B:$B,"B100101_05",DATOS!$G:$G,"0311",DATOS!$C:$C,"00")</f>
        <v>12.599200361925371</v>
      </c>
      <c r="I11" s="195">
        <f>SUMIFS(DATOS!$F:$F,DATOS!$D:$D,$A11,DATOS!$A:$A,'Cuadro 2-Bocas del Toro'!I$6,DATOS!$B:$B,"B100101_05",DATOS!$G:$G,"0311",DATOS!$C:$C,"00")</f>
        <v>13.357929184289056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Toro'!C$6,DATOS!$B:$B,"B100101_05",DATOS!$G:$G,"0311",DATOS!$C:$C,"00")</f>
        <v>0.66188262059722502</v>
      </c>
      <c r="D12" s="194">
        <f>SUMIFS(DATOS!$F:$F,DATOS!$D:$D,$A12,DATOS!$A:$A,'Cuadro 2-Bocas del Toro'!D$6,DATOS!$B:$B,"B100101_05",DATOS!$G:$G,"0311",DATOS!$C:$C,"00")</f>
        <v>0.74941542971155473</v>
      </c>
      <c r="E12" s="194">
        <f>SUMIFS(DATOS!$F:$F,DATOS!$D:$D,$A12,DATOS!$A:$A,'Cuadro 2-Bocas del Toro'!E$6,DATOS!$B:$B,"B100101_05",DATOS!$G:$G,"0311",DATOS!$C:$C,"00")</f>
        <v>1.1164230775122923</v>
      </c>
      <c r="F12" s="194">
        <f>SUMIFS(DATOS!$F:$F,DATOS!$D:$D,$A12,DATOS!$A:$A,'Cuadro 2-Bocas del Toro'!F$6,DATOS!$B:$B,"B100101_05",DATOS!$G:$G,"0311",DATOS!$C:$C,"00")</f>
        <v>1.5531643251443297</v>
      </c>
      <c r="G12" s="194">
        <f>SUMIFS(DATOS!$F:$F,DATOS!$D:$D,$A12,DATOS!$A:$A,'Cuadro 2-Bocas del Toro'!G$6,DATOS!$B:$B,"B100101_05",DATOS!$G:$G,"0311",DATOS!$C:$C,"00")</f>
        <v>2.0996474948085329</v>
      </c>
      <c r="H12" s="194">
        <f>SUMIFS(DATOS!$F:$F,DATOS!$D:$D,$A12,DATOS!$A:$A,'Cuadro 2-Bocas del Toro'!H$6,DATOS!$B:$B,"B100101_05",DATOS!$G:$G,"0311",DATOS!$C:$C,"00")</f>
        <v>2.0031322849578208</v>
      </c>
      <c r="I12" s="195">
        <f>SUMIFS(DATOS!$F:$F,DATOS!$D:$D,$A12,DATOS!$A:$A,'Cuadro 2-Bocas del Toro'!I$6,DATOS!$B:$B,"B100101_05",DATOS!$G:$G,"0311",DATOS!$C:$C,"00")</f>
        <v>1.848380624627032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Toro'!C$6,DATOS!$B:$B,"B100101_05",DATOS!$G:$G,"0311",DATOS!$C:$C,"00")</f>
        <v>2.5304904399351051</v>
      </c>
      <c r="D13" s="194">
        <f>SUMIFS(DATOS!$F:$F,DATOS!$D:$D,$A13,DATOS!$A:$A,'Cuadro 2-Bocas del Toro'!D$6,DATOS!$B:$B,"B100101_05",DATOS!$G:$G,"0311",DATOS!$C:$C,"00")</f>
        <v>3.1200778006024668</v>
      </c>
      <c r="E13" s="194">
        <f>SUMIFS(DATOS!$F:$F,DATOS!$D:$D,$A13,DATOS!$A:$A,'Cuadro 2-Bocas del Toro'!E$6,DATOS!$B:$B,"B100101_05",DATOS!$G:$G,"0311",DATOS!$C:$C,"00")</f>
        <v>1.2330067812077976</v>
      </c>
      <c r="F13" s="194">
        <f>SUMIFS(DATOS!$F:$F,DATOS!$D:$D,$A13,DATOS!$A:$A,'Cuadro 2-Bocas del Toro'!F$6,DATOS!$B:$B,"B100101_05",DATOS!$G:$G,"0311",DATOS!$C:$C,"00")</f>
        <v>0.42540020939696532</v>
      </c>
      <c r="G13" s="194">
        <f>SUMIFS(DATOS!$F:$F,DATOS!$D:$D,$A13,DATOS!$A:$A,'Cuadro 2-Bocas del Toro'!G$6,DATOS!$B:$B,"B100101_05",DATOS!$G:$G,"0311",DATOS!$C:$C,"00")</f>
        <v>0.68637624622806115</v>
      </c>
      <c r="H13" s="194">
        <f>SUMIFS(DATOS!$F:$F,DATOS!$D:$D,$A13,DATOS!$A:$A,'Cuadro 2-Bocas del Toro'!H$6,DATOS!$B:$B,"B100101_05",DATOS!$G:$G,"0311",DATOS!$C:$C,"00")</f>
        <v>0.77390805724921097</v>
      </c>
      <c r="I13" s="195">
        <f>SUMIFS(DATOS!$F:$F,DATOS!$D:$D,$A13,DATOS!$A:$A,'Cuadro 2-Bocas del Toro'!I$6,DATOS!$B:$B,"B100101_05",DATOS!$G:$G,"0311",DATOS!$C:$C,"00")</f>
        <v>1.0951935734837839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Toro'!C$6,DATOS!$B:$B,"B100101_05",DATOS!$G:$G,"0311",DATOS!$C:$C,"00")</f>
        <v>0.11059847341127753</v>
      </c>
      <c r="D14" s="194">
        <f>SUMIFS(DATOS!$F:$F,DATOS!$D:$D,$A14,DATOS!$A:$A,'Cuadro 2-Bocas del Toro'!D$6,DATOS!$B:$B,"B100101_05",DATOS!$G:$G,"0311",DATOS!$C:$C,"00")</f>
        <v>0.10413270598198725</v>
      </c>
      <c r="E14" s="194">
        <f>SUMIFS(DATOS!$F:$F,DATOS!$D:$D,$A14,DATOS!$A:$A,'Cuadro 2-Bocas del Toro'!E$6,DATOS!$B:$B,"B100101_05",DATOS!$G:$G,"0311",DATOS!$C:$C,"00")</f>
        <v>3.7661686722778281E-2</v>
      </c>
      <c r="F14" s="194">
        <f>SUMIFS(DATOS!$F:$F,DATOS!$D:$D,$A14,DATOS!$A:$A,'Cuadro 2-Bocas del Toro'!F$6,DATOS!$B:$B,"B100101_05",DATOS!$G:$G,"0311",DATOS!$C:$C,"00")</f>
        <v>4.221294113561283E-2</v>
      </c>
      <c r="G14" s="194">
        <f>SUMIFS(DATOS!$F:$F,DATOS!$D:$D,$A14,DATOS!$A:$A,'Cuadro 2-Bocas del Toro'!G$6,DATOS!$B:$B,"B100101_05",DATOS!$G:$G,"0311",DATOS!$C:$C,"00")</f>
        <v>5.6037725161276954E-2</v>
      </c>
      <c r="H14" s="194">
        <f>SUMIFS(DATOS!$F:$F,DATOS!$D:$D,$A14,DATOS!$A:$A,'Cuadro 2-Bocas del Toro'!H$6,DATOS!$B:$B,"B100101_05",DATOS!$G:$G,"0311",DATOS!$C:$C,"00")</f>
        <v>5.4205615071716888E-2</v>
      </c>
      <c r="I14" s="195">
        <f>SUMIFS(DATOS!$F:$F,DATOS!$D:$D,$A14,DATOS!$A:$A,'Cuadro 2-Bocas del Toro'!I$6,DATOS!$B:$B,"B100101_05",DATOS!$G:$G,"0311",DATOS!$C:$C,"00")</f>
        <v>5.9085409656072251E-2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Toro'!C$6,DATOS!$B:$B,"B100101_05",DATOS!$G:$G,"0311",DATOS!$C:$C,"00")</f>
        <v>26.409086303582431</v>
      </c>
      <c r="D15" s="194">
        <f>SUMIFS(DATOS!$F:$F,DATOS!$D:$D,$A15,DATOS!$A:$A,'Cuadro 2-Bocas del Toro'!D$6,DATOS!$B:$B,"B100101_05",DATOS!$G:$G,"0311",DATOS!$C:$C,"00")</f>
        <v>26.4397665200764</v>
      </c>
      <c r="E15" s="194">
        <f>SUMIFS(DATOS!$F:$F,DATOS!$D:$D,$A15,DATOS!$A:$A,'Cuadro 2-Bocas del Toro'!E$6,DATOS!$B:$B,"B100101_05",DATOS!$G:$G,"0311",DATOS!$C:$C,"00")</f>
        <v>26.806182526946952</v>
      </c>
      <c r="F15" s="194">
        <f>SUMIFS(DATOS!$F:$F,DATOS!$D:$D,$A15,DATOS!$A:$A,'Cuadro 2-Bocas del Toro'!F$6,DATOS!$B:$B,"B100101_05",DATOS!$G:$G,"0311",DATOS!$C:$C,"00")</f>
        <v>28.413170005992214</v>
      </c>
      <c r="G15" s="194">
        <f>SUMIFS(DATOS!$F:$F,DATOS!$D:$D,$A15,DATOS!$A:$A,'Cuadro 2-Bocas del Toro'!G$6,DATOS!$B:$B,"B100101_05",DATOS!$G:$G,"0311",DATOS!$C:$C,"00")</f>
        <v>28.097682941187063</v>
      </c>
      <c r="H15" s="194">
        <f>SUMIFS(DATOS!$F:$F,DATOS!$D:$D,$A15,DATOS!$A:$A,'Cuadro 2-Bocas del Toro'!H$6,DATOS!$B:$B,"B100101_05",DATOS!$G:$G,"0311",DATOS!$C:$C,"00")</f>
        <v>30.155714238873188</v>
      </c>
      <c r="I15" s="195">
        <f>SUMIFS(DATOS!$F:$F,DATOS!$D:$D,$A15,DATOS!$A:$A,'Cuadro 2-Bocas del Toro'!I$6,DATOS!$B:$B,"B100101_05",DATOS!$G:$G,"0311",DATOS!$C:$C,"00")</f>
        <v>32.21329564215587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Toro'!C$6,DATOS!$B:$B,"B100101_05",DATOS!$G:$G,"0311",DATOS!$C:$C,"00")</f>
        <v>4.638198552185127</v>
      </c>
      <c r="D16" s="194">
        <f>SUMIFS(DATOS!$F:$F,DATOS!$D:$D,$A16,DATOS!$A:$A,'Cuadro 2-Bocas del Toro'!D$6,DATOS!$B:$B,"B100101_05",DATOS!$G:$G,"0311",DATOS!$C:$C,"00")</f>
        <v>5.161500488378147</v>
      </c>
      <c r="E16" s="194">
        <f>SUMIFS(DATOS!$F:$F,DATOS!$D:$D,$A16,DATOS!$A:$A,'Cuadro 2-Bocas del Toro'!E$6,DATOS!$B:$B,"B100101_05",DATOS!$G:$G,"0311",DATOS!$C:$C,"00")</f>
        <v>4.9033159603816765</v>
      </c>
      <c r="F16" s="194">
        <f>SUMIFS(DATOS!$F:$F,DATOS!$D:$D,$A16,DATOS!$A:$A,'Cuadro 2-Bocas del Toro'!F$6,DATOS!$B:$B,"B100101_05",DATOS!$G:$G,"0311",DATOS!$C:$C,"00")</f>
        <v>4.2364967238512854</v>
      </c>
      <c r="G16" s="194">
        <f>SUMIFS(DATOS!$F:$F,DATOS!$D:$D,$A16,DATOS!$A:$A,'Cuadro 2-Bocas del Toro'!G$6,DATOS!$B:$B,"B100101_05",DATOS!$G:$G,"0311",DATOS!$C:$C,"00")</f>
        <v>3.9522109489679154</v>
      </c>
      <c r="H16" s="194">
        <f>SUMIFS(DATOS!$F:$F,DATOS!$D:$D,$A16,DATOS!$A:$A,'Cuadro 2-Bocas del Toro'!H$6,DATOS!$B:$B,"B100101_05",DATOS!$G:$G,"0311",DATOS!$C:$C,"00")</f>
        <v>4.3171298759786829</v>
      </c>
      <c r="I16" s="195">
        <f>SUMIFS(DATOS!$F:$F,DATOS!$D:$D,$A16,DATOS!$A:$A,'Cuadro 2-Bocas del Toro'!I$6,DATOS!$B:$B,"B100101_05",DATOS!$G:$G,"0311",DATOS!$C:$C,"00")</f>
        <v>5.0008656055102172</v>
      </c>
    </row>
    <row r="17" spans="1:16" ht="32.25" customHeight="1">
      <c r="A17" s="56" t="s">
        <v>70</v>
      </c>
      <c r="B17" s="60" t="s">
        <v>95</v>
      </c>
      <c r="C17" s="194">
        <f>SUMIFS(DATOS!$F:$F,DATOS!$D:$D,$A17,DATOS!$A:$A,'Cuadro 2-Bocas del Toro'!C$6,DATOS!$B:$B,"B100101_05",DATOS!$G:$G,"0311",DATOS!$C:$C,"00")</f>
        <v>14.580949620538981</v>
      </c>
      <c r="D17" s="194">
        <f>SUMIFS(DATOS!$F:$F,DATOS!$D:$D,$A17,DATOS!$A:$A,'Cuadro 2-Bocas del Toro'!D$6,DATOS!$B:$B,"B100101_05",DATOS!$G:$G,"0311",DATOS!$C:$C,"00")</f>
        <v>15.404651021336992</v>
      </c>
      <c r="E17" s="194">
        <f>SUMIFS(DATOS!$F:$F,DATOS!$D:$D,$A17,DATOS!$A:$A,'Cuadro 2-Bocas del Toro'!E$6,DATOS!$B:$B,"B100101_05",DATOS!$G:$G,"0311",DATOS!$C:$C,"00")</f>
        <v>14.589403215798489</v>
      </c>
      <c r="F17" s="194">
        <f>SUMIFS(DATOS!$F:$F,DATOS!$D:$D,$A17,DATOS!$A:$A,'Cuadro 2-Bocas del Toro'!F$6,DATOS!$B:$B,"B100101_05",DATOS!$G:$G,"0311",DATOS!$C:$C,"00")</f>
        <v>19.015523890896947</v>
      </c>
      <c r="G17" s="194">
        <f>SUMIFS(DATOS!$F:$F,DATOS!$D:$D,$A17,DATOS!$A:$A,'Cuadro 2-Bocas del Toro'!G$6,DATOS!$B:$B,"B100101_05",DATOS!$G:$G,"0311",DATOS!$C:$C,"00")</f>
        <v>19.955861045588914</v>
      </c>
      <c r="H17" s="194">
        <f>SUMIFS(DATOS!$F:$F,DATOS!$D:$D,$A17,DATOS!$A:$A,'Cuadro 2-Bocas del Toro'!H$6,DATOS!$B:$B,"B100101_05",DATOS!$G:$G,"0311",DATOS!$C:$C,"00")</f>
        <v>24.110161996650476</v>
      </c>
      <c r="I17" s="195">
        <f>SUMIFS(DATOS!$F:$F,DATOS!$D:$D,$A17,DATOS!$A:$A,'Cuadro 2-Bocas del Toro'!I$6,DATOS!$B:$B,"B100101_05",DATOS!$G:$G,"0311",DATOS!$C:$C,"00")</f>
        <v>22.636746610718504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Toro'!C$6,DATOS!$B:$B,"B100101_05",DATOS!$G:$G,"0311",DATOS!$C:$C,"00")</f>
        <v>0.52023592167151322</v>
      </c>
      <c r="D18" s="194">
        <f>SUMIFS(DATOS!$F:$F,DATOS!$D:$D,$A18,DATOS!$A:$A,'Cuadro 2-Bocas del Toro'!D$6,DATOS!$B:$B,"B100101_05",DATOS!$G:$G,"0311",DATOS!$C:$C,"00")</f>
        <v>0.54834194128396807</v>
      </c>
      <c r="E18" s="194">
        <f>SUMIFS(DATOS!$F:$F,DATOS!$D:$D,$A18,DATOS!$A:$A,'Cuadro 2-Bocas del Toro'!E$6,DATOS!$B:$B,"B100101_05",DATOS!$G:$G,"0311",DATOS!$C:$C,"00")</f>
        <v>0.65468744012621161</v>
      </c>
      <c r="F18" s="194">
        <f>SUMIFS(DATOS!$F:$F,DATOS!$D:$D,$A18,DATOS!$A:$A,'Cuadro 2-Bocas del Toro'!F$6,DATOS!$B:$B,"B100101_05",DATOS!$G:$G,"0311",DATOS!$C:$C,"00")</f>
        <v>0.56229778000363839</v>
      </c>
      <c r="G18" s="194">
        <f>SUMIFS(DATOS!$F:$F,DATOS!$D:$D,$A18,DATOS!$A:$A,'Cuadro 2-Bocas del Toro'!G$6,DATOS!$B:$B,"B100101_05",DATOS!$G:$G,"0311",DATOS!$C:$C,"00")</f>
        <v>0.58491682456230421</v>
      </c>
      <c r="H18" s="194">
        <f>SUMIFS(DATOS!$F:$F,DATOS!$D:$D,$A18,DATOS!$A:$A,'Cuadro 2-Bocas del Toro'!H$6,DATOS!$B:$B,"B100101_05",DATOS!$G:$G,"0311",DATOS!$C:$C,"00")</f>
        <v>0.65688858866987343</v>
      </c>
      <c r="I18" s="195">
        <f>SUMIFS(DATOS!$F:$F,DATOS!$D:$D,$A18,DATOS!$A:$A,'Cuadro 2-Bocas del Toro'!I$6,DATOS!$B:$B,"B100101_05",DATOS!$G:$G,"0311",DATOS!$C:$C,"00")</f>
        <v>0.73415325795162512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Toro'!C$6,DATOS!$B:$B,"B100101_05",DATOS!$G:$G,"0311",DATOS!$C:$C,"00")</f>
        <v>3.1612668764094305E-2</v>
      </c>
      <c r="D19" s="194">
        <f>SUMIFS(DATOS!$F:$F,DATOS!$D:$D,$A19,DATOS!$A:$A,'Cuadro 2-Bocas del Toro'!D$6,DATOS!$B:$B,"B100101_05",DATOS!$G:$G,"0311",DATOS!$C:$C,"00")</f>
        <v>4.9999729711329009E-2</v>
      </c>
      <c r="E19" s="194">
        <f>SUMIFS(DATOS!$F:$F,DATOS!$D:$D,$A19,DATOS!$A:$A,'Cuadro 2-Bocas del Toro'!E$6,DATOS!$B:$B,"B100101_05",DATOS!$G:$G,"0311",DATOS!$C:$C,"00")</f>
        <v>5.2035856936311714E-2</v>
      </c>
      <c r="F19" s="194">
        <f>SUMIFS(DATOS!$F:$F,DATOS!$D:$D,$A19,DATOS!$A:$A,'Cuadro 2-Bocas del Toro'!F$6,DATOS!$B:$B,"B100101_05",DATOS!$G:$G,"0311",DATOS!$C:$C,"00")</f>
        <v>4.9091195131994864E-2</v>
      </c>
      <c r="G19" s="194">
        <f>SUMIFS(DATOS!$F:$F,DATOS!$D:$D,$A19,DATOS!$A:$A,'Cuadro 2-Bocas del Toro'!G$6,DATOS!$B:$B,"B100101_05",DATOS!$G:$G,"0311",DATOS!$C:$C,"00")</f>
        <v>6.3909710879723594E-2</v>
      </c>
      <c r="H19" s="194">
        <f>SUMIFS(DATOS!$F:$F,DATOS!$D:$D,$A19,DATOS!$A:$A,'Cuadro 2-Bocas del Toro'!H$6,DATOS!$B:$B,"B100101_05",DATOS!$G:$G,"0311",DATOS!$C:$C,"00")</f>
        <v>6.8120660050833448E-2</v>
      </c>
      <c r="I19" s="195">
        <f>SUMIFS(DATOS!$F:$F,DATOS!$D:$D,$A19,DATOS!$A:$A,'Cuadro 2-Bocas del Toro'!I$6,DATOS!$B:$B,"B100101_05",DATOS!$G:$G,"0311",DATOS!$C:$C,"00")</f>
        <v>7.0872795835514618E-2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Toro'!C$6,DATOS!$B:$B,"B100101_05",DATOS!$G:$G,"0311",DATOS!$C:$C,"00")</f>
        <v>2.818981422828604E-2</v>
      </c>
      <c r="D20" s="194">
        <f>SUMIFS(DATOS!$F:$F,DATOS!$D:$D,$A20,DATOS!$A:$A,'Cuadro 2-Bocas del Toro'!D$6,DATOS!$B:$B,"B100101_05",DATOS!$G:$G,"0311",DATOS!$C:$C,"00")</f>
        <v>2.2448448030631441E-2</v>
      </c>
      <c r="E20" s="194">
        <f>SUMIFS(DATOS!$F:$F,DATOS!$D:$D,$A20,DATOS!$A:$A,'Cuadro 2-Bocas del Toro'!E$6,DATOS!$B:$B,"B100101_05",DATOS!$G:$G,"0311",DATOS!$C:$C,"00")</f>
        <v>1.106668828492176E-2</v>
      </c>
      <c r="F20" s="194">
        <f>SUMIFS(DATOS!$F:$F,DATOS!$D:$D,$A20,DATOS!$A:$A,'Cuadro 2-Bocas del Toro'!F$6,DATOS!$B:$B,"B100101_05",DATOS!$G:$G,"0311",DATOS!$C:$C,"00")</f>
        <v>1.2245718950893332E-2</v>
      </c>
      <c r="G20" s="194">
        <f>SUMIFS(DATOS!$F:$F,DATOS!$D:$D,$A20,DATOS!$A:$A,'Cuadro 2-Bocas del Toro'!G$6,DATOS!$B:$B,"B100101_05",DATOS!$G:$G,"0311",DATOS!$C:$C,"00")</f>
        <v>1.338959747961896E-2</v>
      </c>
      <c r="H20" s="194">
        <f>SUMIFS(DATOS!$F:$F,DATOS!$D:$D,$A20,DATOS!$A:$A,'Cuadro 2-Bocas del Toro'!H$6,DATOS!$B:$B,"B100101_05",DATOS!$G:$G,"0311",DATOS!$C:$C,"00")</f>
        <v>1.6031726086520464E-2</v>
      </c>
      <c r="I20" s="195">
        <f>SUMIFS(DATOS!$F:$F,DATOS!$D:$D,$A20,DATOS!$A:$A,'Cuadro 2-Bocas del Toro'!I$6,DATOS!$B:$B,"B100101_05",DATOS!$G:$G,"0311",DATOS!$C:$C,"00")</f>
        <v>1.7564659604901011E-2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Toro'!C$6,DATOS!$B:$B,"B100101_05",DATOS!$G:$G,"0311",DATOS!$C:$C,"00")</f>
        <v>1.5142279287550677</v>
      </c>
      <c r="D21" s="196">
        <f>SUMIFS(DATOS!$F:$F,DATOS!$D:$D,$A21,DATOS!$A:$A,'Cuadro 2-Bocas del Toro'!D$6,DATOS!$B:$B,"B100101_05",DATOS!$G:$G,"0311",DATOS!$C:$C,"00")</f>
        <v>1.7602274415392107</v>
      </c>
      <c r="E21" s="196">
        <f>SUMIFS(DATOS!$F:$F,DATOS!$D:$D,$A21,DATOS!$A:$A,'Cuadro 2-Bocas del Toro'!E$6,DATOS!$B:$B,"B100101_05",DATOS!$G:$G,"0311",DATOS!$C:$C,"00")</f>
        <v>1.4144004069704286</v>
      </c>
      <c r="F21" s="196">
        <f>SUMIFS(DATOS!$F:$F,DATOS!$D:$D,$A21,DATOS!$A:$A,'Cuadro 2-Bocas del Toro'!F$6,DATOS!$B:$B,"B100101_05",DATOS!$G:$G,"0311",DATOS!$C:$C,"00")</f>
        <v>2.4957260622348123</v>
      </c>
      <c r="G21" s="196">
        <f>SUMIFS(DATOS!$F:$F,DATOS!$D:$D,$A21,DATOS!$A:$A,'Cuadro 2-Bocas del Toro'!G$6,DATOS!$B:$B,"B100101_05",DATOS!$G:$G,"0311",DATOS!$C:$C,"00")</f>
        <v>1.5869276267290624</v>
      </c>
      <c r="H21" s="197">
        <f>SUMIFS(DATOS!$F:$F,DATOS!$D:$D,$A21,DATOS!$A:$A,'Cuadro 2-Bocas del Toro'!H$6,DATOS!$B:$B,"B100101_05",DATOS!$G:$G,"0311",DATOS!$C:$C,"00")</f>
        <v>1.6077449213284134</v>
      </c>
      <c r="I21" s="198">
        <f>SUMIFS(DATOS!$F:$F,DATOS!$D:$D,$A21,DATOS!$A:$A,'Cuadro 2-Bocas del Toro'!I$6,DATOS!$B:$B,"B100101_05",DATOS!$G:$G,"0311",DATOS!$C:$C,"00")</f>
        <v>1.2267617722110733</v>
      </c>
    </row>
    <row r="22" spans="1:16" ht="32.25" customHeight="1">
      <c r="A22" s="25"/>
      <c r="B22" s="22" t="s">
        <v>93</v>
      </c>
      <c r="C22" s="196">
        <f>SUMIFS(DATOS!$F:$F,DATOS!$D:$D,"GOB",DATOS!$A:$A,'Cuadro 2-Bocas del Toro'!C$6,DATOS!$B:$B,"B100103_05",DATOS!$G:$G,"0311",DATOS!$C:$C,"00")</f>
        <v>80.538183138377491</v>
      </c>
      <c r="D22" s="196">
        <f>SUMIFS(DATOS!$F:$F,DATOS!$D:$D,"GOB",DATOS!$A:$A,'Cuadro 2-Bocas del Toro'!D$6,DATOS!$B:$B,"B100103_05",DATOS!$G:$G,"0311",DATOS!$C:$C,"00")</f>
        <v>77.150134988679881</v>
      </c>
      <c r="E22" s="196">
        <f>SUMIFS(DATOS!$F:$F,DATOS!$D:$D,"GOB",DATOS!$A:$A,'Cuadro 2-Bocas del Toro'!E$6,DATOS!$B:$B,"B100103_05",DATOS!$G:$G,"0311",DATOS!$C:$C,"00")</f>
        <v>86.628226143783849</v>
      </c>
      <c r="F22" s="196">
        <f>SUMIFS(DATOS!$F:$F,DATOS!$D:$D,"GOB",DATOS!$A:$A,'Cuadro 2-Bocas del Toro'!F$6,DATOS!$B:$B,"B100103_05",DATOS!$G:$G,"0311",DATOS!$C:$C,"00")</f>
        <v>92.89154493315425</v>
      </c>
      <c r="G22" s="196">
        <f>SUMIFS(DATOS!$F:$F,DATOS!$D:$D,"GOB",DATOS!$A:$A,'Cuadro 2-Bocas del Toro'!G$6,DATOS!$B:$B,"B100103_05",DATOS!$G:$G,"0311",DATOS!$C:$C,"00")</f>
        <v>92.780928889983912</v>
      </c>
      <c r="H22" s="197">
        <f>SUMIFS(DATOS!$F:$F,DATOS!$D:$D,"GOB",DATOS!$A:$A,'Cuadro 2-Bocas del Toro'!H$6,DATOS!$B:$B,"B100103_05",DATOS!$G:$G,"0311",DATOS!$C:$C,"00")</f>
        <v>103.26854317755635</v>
      </c>
      <c r="I22" s="198">
        <f>SUMIFS(DATOS!$F:$F,DATOS!$D:$D,"GOB",DATOS!$A:$A,'Cuadro 2-Bocas del Toro'!I$6,DATOS!$B:$B,"B100103_05",DATOS!$G:$G,"0311",DATOS!$C:$C,"00")</f>
        <v>106.58832392287212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Toro'!C$6,DATOS!$B:$B,"VAB_05",DATOS!$G:$G,"0311",DATOS!$C:$C,"00")</f>
        <v>232.68654239495518</v>
      </c>
      <c r="D23" s="199">
        <f>SUMIFS(DATOS!$F:$F,DATOS!$D:$D,"VAB",DATOS!$A:$A,'Cuadro 2-Bocas del Toro'!D$6,DATOS!$B:$B,"VAB_05",DATOS!$G:$G,"0311",DATOS!$C:$C,"00")</f>
        <v>242.77444208510894</v>
      </c>
      <c r="E23" s="199">
        <f>SUMIFS(DATOS!$F:$F,DATOS!$D:$D,"VAB",DATOS!$A:$A,'Cuadro 2-Bocas del Toro'!E$6,DATOS!$B:$B,"VAB_05",DATOS!$G:$G,"0311",DATOS!$C:$C,"00")</f>
        <v>244.17916044032683</v>
      </c>
      <c r="F23" s="199">
        <f>SUMIFS(DATOS!$F:$F,DATOS!$D:$D,"VAB",DATOS!$A:$A,'Cuadro 2-Bocas del Toro'!F$6,DATOS!$B:$B,"VAB_05",DATOS!$G:$G,"0311",DATOS!$C:$C,"00")</f>
        <v>264.01382511020279</v>
      </c>
      <c r="G23" s="199">
        <f>SUMIFS(DATOS!$F:$F,DATOS!$D:$D,"VAB",DATOS!$A:$A,'Cuadro 2-Bocas del Toro'!G$6,DATOS!$B:$B,"VAB_05",DATOS!$G:$G,"0311",DATOS!$C:$C,"00")</f>
        <v>266.33733431174261</v>
      </c>
      <c r="H23" s="200">
        <f>SUMIFS(DATOS!$F:$F,DATOS!$D:$D,"VAB",DATOS!$A:$A,'Cuadro 2-Bocas del Toro'!H$6,DATOS!$B:$B,"VAB_05",DATOS!$G:$G,"0311",DATOS!$C:$C,"00")</f>
        <v>312.09047898896176</v>
      </c>
      <c r="I23" s="201">
        <f>SUMIFS(DATOS!$F:$F,DATOS!$D:$D,"VAB",DATOS!$A:$A,'Cuadro 2-Bocas del Toro'!I$6,DATOS!$B:$B,"VAB_05",DATOS!$G:$G,"0311",DATOS!$C:$C,"00")</f>
        <v>318.30196011899284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Toro'!C$6,DATOS!$B:$B,"IMP_05",DATOS!$G:$G,"0311",DATOS!$C:$C,"00")</f>
        <v>6.7565644956417277</v>
      </c>
      <c r="D24" s="196">
        <f>SUMIFS(DATOS!$F:$F,DATOS!$D:$D,"IMP",DATOS!$A:$A,'Cuadro 2-Bocas del Toro'!D$6,DATOS!$B:$B,"IMP_05",DATOS!$G:$G,"0311",DATOS!$C:$C,"00")</f>
        <v>6.6306837685591153</v>
      </c>
      <c r="E24" s="196">
        <f>SUMIFS(DATOS!$F:$F,DATOS!$D:$D,"IMP",DATOS!$A:$A,'Cuadro 2-Bocas del Toro'!E$6,DATOS!$B:$B,"IMP_05",DATOS!$G:$G,"0311",DATOS!$C:$C,"00")</f>
        <v>4.5164671561381091</v>
      </c>
      <c r="F24" s="196">
        <f>SUMIFS(DATOS!$F:$F,DATOS!$D:$D,"IMP",DATOS!$A:$A,'Cuadro 2-Bocas del Toro'!F$6,DATOS!$B:$B,"IMP_05",DATOS!$G:$G,"0311",DATOS!$C:$C,"00")</f>
        <v>5.3763366994642237</v>
      </c>
      <c r="G24" s="196">
        <f>SUMIFS(DATOS!$F:$F,DATOS!$D:$D,"IMP",DATOS!$A:$A,'Cuadro 2-Bocas del Toro'!G$6,DATOS!$B:$B,"IMP_05",DATOS!$G:$G,"0311",DATOS!$C:$C,"00")</f>
        <v>6.0686680780140616</v>
      </c>
      <c r="H24" s="197">
        <f>SUMIFS(DATOS!$F:$F,DATOS!$D:$D,"IMP",DATOS!$A:$A,'Cuadro 2-Bocas del Toro'!H$6,DATOS!$B:$B,"IMP_05",DATOS!$G:$G,"0311",DATOS!$C:$C,"00")</f>
        <v>6.511965963734391</v>
      </c>
      <c r="I24" s="198">
        <f>SUMIFS(DATOS!$F:$F,DATOS!$D:$D,"IMP",DATOS!$A:$A,'Cuadro 2-Bocas del Toro'!I$6,DATOS!$B:$B,"IMP_05",DATOS!$G:$G,"0311",DATOS!$C:$C,"00")</f>
        <v>6.7172320516225144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Toro'!C$6,DATOS!$B:$B,"PIB_05",DATOS!$G:$G,"0311",DATOS!$C:$C,"00")</f>
        <v>239.44310689059691</v>
      </c>
      <c r="D25" s="199">
        <f>SUMIFS(DATOS!$F:$F,DATOS!$D:$D,"PIB",DATOS!$A:$A,'Cuadro 2-Bocas del Toro'!D$6,DATOS!$B:$B,"PIB_05",DATOS!$G:$G,"0311",DATOS!$C:$C,"00")</f>
        <v>249.4051258536681</v>
      </c>
      <c r="E25" s="199">
        <f>SUMIFS(DATOS!$F:$F,DATOS!$D:$D,"PIB",DATOS!$A:$A,'Cuadro 2-Bocas del Toro'!E$6,DATOS!$B:$B,"PIB_05",DATOS!$G:$G,"0311",DATOS!$C:$C,"00")</f>
        <v>248.74890002859851</v>
      </c>
      <c r="F25" s="199">
        <f>SUMIFS(DATOS!$F:$F,DATOS!$D:$D,"PIB",DATOS!$A:$A,'Cuadro 2-Bocas del Toro'!F$6,DATOS!$B:$B,"PIB_05",DATOS!$G:$G,"0311",DATOS!$C:$C,"00")</f>
        <v>269.45587171129893</v>
      </c>
      <c r="G25" s="199">
        <f>SUMIFS(DATOS!$F:$F,DATOS!$D:$D,"PIB",DATOS!$A:$A,'Cuadro 2-Bocas del Toro'!G$6,DATOS!$B:$B,"PIB_05",DATOS!$G:$G,"0311",DATOS!$C:$C,"00")</f>
        <v>272.4979357393604</v>
      </c>
      <c r="H25" s="200">
        <f>SUMIFS(DATOS!$F:$F,DATOS!$D:$D,"PIB",DATOS!$A:$A,'Cuadro 2-Bocas del Toro'!H$6,DATOS!$B:$B,"PIB_05",DATOS!$G:$G,"0311",DATOS!$C:$C,"00")</f>
        <v>318.68725510509177</v>
      </c>
      <c r="I25" s="201">
        <f>SUMIFS(DATOS!$F:$F,DATOS!$D:$D,"PIB",DATOS!$A:$A,'Cuadro 2-Bocas del Toro'!I$6,DATOS!$B:$B,"PIB_05",DATOS!$G:$G,"0311",DATOS!$C:$C,"00")</f>
        <v>325.10434832740174</v>
      </c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0.25" customHeight="1" thickBot="1">
      <c r="A27" s="192" t="s">
        <v>202</v>
      </c>
      <c r="B27" s="192"/>
      <c r="C27" s="192"/>
      <c r="D27" s="192"/>
      <c r="E27" s="192"/>
      <c r="F27" s="192"/>
      <c r="G27" s="192"/>
      <c r="H27" s="192"/>
      <c r="I27" s="192"/>
      <c r="J27" s="90"/>
      <c r="K27" s="75"/>
    </row>
    <row r="28" spans="1:16" ht="32.1" customHeight="1" thickTop="1">
      <c r="A28" s="217" t="s">
        <v>29</v>
      </c>
      <c r="B28" s="217" t="s">
        <v>30</v>
      </c>
      <c r="C28" s="217" t="s">
        <v>341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35.283159442538043</v>
      </c>
      <c r="D30" s="19">
        <f t="shared" ref="D30:I30" si="0">IFERROR(D7/D$25*100,"")</f>
        <v>37.379711902290225</v>
      </c>
      <c r="E30" s="19">
        <f t="shared" si="0"/>
        <v>40.635586388082274</v>
      </c>
      <c r="F30" s="19">
        <f t="shared" si="0"/>
        <v>40.156509967549056</v>
      </c>
      <c r="G30" s="19">
        <f t="shared" si="0"/>
        <v>39.543591519684639</v>
      </c>
      <c r="H30" s="19">
        <f t="shared" si="0"/>
        <v>40.095694412770513</v>
      </c>
      <c r="I30" s="143">
        <f t="shared" si="0"/>
        <v>39.153704398636314</v>
      </c>
      <c r="J30" s="50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46" si="1">IFERROR(C8/C$25*100,"")</f>
        <v>0.40129949534222359</v>
      </c>
      <c r="D31" s="19">
        <f t="shared" si="1"/>
        <v>0.48379028863635337</v>
      </c>
      <c r="E31" s="19">
        <f t="shared" si="1"/>
        <v>9.7011166691693476E-2</v>
      </c>
      <c r="F31" s="19">
        <f t="shared" si="1"/>
        <v>0.10697779046868877</v>
      </c>
      <c r="G31" s="19">
        <f t="shared" si="1"/>
        <v>0.17271668847149457</v>
      </c>
      <c r="H31" s="19">
        <f t="shared" si="1"/>
        <v>0.34642129548855938</v>
      </c>
      <c r="I31" s="106">
        <f t="shared" si="1"/>
        <v>0.52045501751637602</v>
      </c>
      <c r="J31" s="50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si="1"/>
        <v>0.19959939464858362</v>
      </c>
      <c r="D32" s="19">
        <f t="shared" si="1"/>
        <v>0.1887620210585636</v>
      </c>
      <c r="E32" s="19">
        <f t="shared" si="1"/>
        <v>0.17165279926900476</v>
      </c>
      <c r="F32" s="19">
        <f t="shared" si="1"/>
        <v>0.18932959894939275</v>
      </c>
      <c r="G32" s="19">
        <f t="shared" si="1"/>
        <v>0.20381534232851781</v>
      </c>
      <c r="H32" s="19">
        <f t="shared" si="1"/>
        <v>0.1660844054641212</v>
      </c>
      <c r="I32" s="106">
        <f t="shared" si="1"/>
        <v>0.1682997214314868</v>
      </c>
      <c r="J32" s="50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si="1"/>
        <v>0.81498123717400495</v>
      </c>
      <c r="D33" s="19">
        <f t="shared" si="1"/>
        <v>0.83183706337316266</v>
      </c>
      <c r="E33" s="19">
        <f t="shared" si="1"/>
        <v>0.9322575967092952</v>
      </c>
      <c r="F33" s="19">
        <f t="shared" si="1"/>
        <v>0.83757827160646559</v>
      </c>
      <c r="G33" s="19">
        <f t="shared" si="1"/>
        <v>0.93259984385636574</v>
      </c>
      <c r="H33" s="19">
        <f t="shared" si="1"/>
        <v>0.83284166891819111</v>
      </c>
      <c r="I33" s="106">
        <f t="shared" si="1"/>
        <v>0.91458546670032892</v>
      </c>
      <c r="J33" s="50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94</v>
      </c>
      <c r="C34" s="19">
        <f t="shared" si="1"/>
        <v>5.53349250277493</v>
      </c>
      <c r="D34" s="19">
        <f t="shared" si="1"/>
        <v>6.1285042938007539</v>
      </c>
      <c r="E34" s="19">
        <f t="shared" si="1"/>
        <v>1.2439949017430072</v>
      </c>
      <c r="F34" s="19">
        <f t="shared" si="1"/>
        <v>1.2930900975579034</v>
      </c>
      <c r="G34" s="19">
        <f t="shared" si="1"/>
        <v>1.9648220929540297</v>
      </c>
      <c r="H34" s="19">
        <f t="shared" si="1"/>
        <v>3.9534685369738436</v>
      </c>
      <c r="I34" s="106">
        <f t="shared" si="1"/>
        <v>4.1088128328682734</v>
      </c>
      <c r="J34" s="50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si="1"/>
        <v>0.27642584043968466</v>
      </c>
      <c r="D35" s="19">
        <f t="shared" si="1"/>
        <v>0.30048116579258061</v>
      </c>
      <c r="E35" s="19">
        <f t="shared" si="1"/>
        <v>0.44881528215157446</v>
      </c>
      <c r="F35" s="19">
        <f t="shared" si="1"/>
        <v>0.57640767494887801</v>
      </c>
      <c r="G35" s="19">
        <f t="shared" si="1"/>
        <v>0.77051867901737414</v>
      </c>
      <c r="H35" s="19">
        <f t="shared" si="1"/>
        <v>0.62855738749177736</v>
      </c>
      <c r="I35" s="106">
        <f t="shared" si="1"/>
        <v>0.56854995454123847</v>
      </c>
      <c r="J35" s="50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si="1"/>
        <v>1.0568232565956899</v>
      </c>
      <c r="D36" s="19">
        <f t="shared" si="1"/>
        <v>1.2510078892416552</v>
      </c>
      <c r="E36" s="19">
        <f t="shared" si="1"/>
        <v>0.49568330998289417</v>
      </c>
      <c r="F36" s="19">
        <f t="shared" si="1"/>
        <v>0.15787379458286538</v>
      </c>
      <c r="G36" s="19">
        <f t="shared" si="1"/>
        <v>0.25188309935843634</v>
      </c>
      <c r="H36" s="19">
        <f t="shared" si="1"/>
        <v>0.2428424873765358</v>
      </c>
      <c r="I36" s="106">
        <f t="shared" si="1"/>
        <v>0.33687447710814711</v>
      </c>
      <c r="J36" s="50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si="1"/>
        <v>4.6189875685922623E-2</v>
      </c>
      <c r="D37" s="19">
        <f t="shared" si="1"/>
        <v>4.1752432162554823E-2</v>
      </c>
      <c r="E37" s="19">
        <f t="shared" si="1"/>
        <v>1.5140443522945564E-2</v>
      </c>
      <c r="F37" s="19">
        <f t="shared" si="1"/>
        <v>1.5665994163541822E-2</v>
      </c>
      <c r="G37" s="19">
        <f t="shared" si="1"/>
        <v>2.0564458592771166E-2</v>
      </c>
      <c r="H37" s="19">
        <f t="shared" si="1"/>
        <v>1.7009031331937575E-2</v>
      </c>
      <c r="I37" s="106">
        <f t="shared" si="1"/>
        <v>1.8174290796187476E-2</v>
      </c>
      <c r="J37" s="50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si="1"/>
        <v>11.029378396617997</v>
      </c>
      <c r="D38" s="19">
        <f t="shared" si="1"/>
        <v>10.601131965342701</v>
      </c>
      <c r="E38" s="19">
        <f t="shared" si="1"/>
        <v>10.776402437906283</v>
      </c>
      <c r="F38" s="19">
        <f t="shared" si="1"/>
        <v>10.544646819362956</v>
      </c>
      <c r="G38" s="19">
        <f t="shared" si="1"/>
        <v>10.311154418454757</v>
      </c>
      <c r="H38" s="19">
        <f t="shared" si="1"/>
        <v>9.4624788898222185</v>
      </c>
      <c r="I38" s="106">
        <f t="shared" si="1"/>
        <v>9.9086019020929665</v>
      </c>
      <c r="J38" s="50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si="1"/>
        <v>1.9370775013808812</v>
      </c>
      <c r="D39" s="19">
        <f t="shared" si="1"/>
        <v>2.0695246221228514</v>
      </c>
      <c r="E39" s="19">
        <f t="shared" si="1"/>
        <v>1.9711910122287759</v>
      </c>
      <c r="F39" s="19">
        <f t="shared" si="1"/>
        <v>1.5722413829565247</v>
      </c>
      <c r="G39" s="19">
        <f t="shared" si="1"/>
        <v>1.4503636287168564</v>
      </c>
      <c r="H39" s="19">
        <f t="shared" si="1"/>
        <v>1.3546603470399363</v>
      </c>
      <c r="I39" s="106">
        <f t="shared" si="1"/>
        <v>1.5382339950968642</v>
      </c>
      <c r="J39" s="50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95</v>
      </c>
      <c r="C40" s="19">
        <f t="shared" si="1"/>
        <v>6.0895257374024601</v>
      </c>
      <c r="D40" s="19">
        <f t="shared" si="1"/>
        <v>6.1765575060294742</v>
      </c>
      <c r="E40" s="19">
        <f t="shared" si="1"/>
        <v>5.8651126554212523</v>
      </c>
      <c r="F40" s="19">
        <f t="shared" si="1"/>
        <v>7.0570085447128825</v>
      </c>
      <c r="G40" s="19">
        <f t="shared" si="1"/>
        <v>7.3233072358670466</v>
      </c>
      <c r="H40" s="19">
        <f t="shared" si="1"/>
        <v>7.5654616274817137</v>
      </c>
      <c r="I40" s="106">
        <f t="shared" si="1"/>
        <v>6.9629172070998546</v>
      </c>
      <c r="J40" s="50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si="1"/>
        <v>0.21726911600308141</v>
      </c>
      <c r="D41" s="19">
        <f t="shared" si="1"/>
        <v>0.21985993247215507</v>
      </c>
      <c r="E41" s="19">
        <f t="shared" si="1"/>
        <v>0.2631920945382844</v>
      </c>
      <c r="F41" s="19">
        <f t="shared" si="1"/>
        <v>0.2086789857027487</v>
      </c>
      <c r="G41" s="19">
        <f t="shared" si="1"/>
        <v>0.2146500020175445</v>
      </c>
      <c r="H41" s="19">
        <f t="shared" si="1"/>
        <v>0.2061232691759998</v>
      </c>
      <c r="I41" s="106">
        <f t="shared" si="1"/>
        <v>0.22582080545175726</v>
      </c>
      <c r="J41" s="50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si="1"/>
        <v>1.3202580426981487E-2</v>
      </c>
      <c r="D42" s="19">
        <f t="shared" si="1"/>
        <v>2.004759506854123E-2</v>
      </c>
      <c r="E42" s="19">
        <f t="shared" si="1"/>
        <v>2.0919029965691983E-2</v>
      </c>
      <c r="F42" s="19">
        <f t="shared" si="1"/>
        <v>1.8218639965133985E-2</v>
      </c>
      <c r="G42" s="19">
        <f t="shared" si="1"/>
        <v>2.3453282574900727E-2</v>
      </c>
      <c r="H42" s="19">
        <f t="shared" si="1"/>
        <v>2.1375395143545878E-2</v>
      </c>
      <c r="I42" s="106">
        <f t="shared" si="1"/>
        <v>2.1800014733774336E-2</v>
      </c>
      <c r="J42" s="50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si="1"/>
        <v>1.1773074027629513E-2</v>
      </c>
      <c r="D43" s="19">
        <f t="shared" si="1"/>
        <v>9.0007965769727111E-3</v>
      </c>
      <c r="E43" s="19">
        <f t="shared" si="1"/>
        <v>4.4489395867275908E-3</v>
      </c>
      <c r="F43" s="19">
        <f t="shared" si="1"/>
        <v>4.5446101705342206E-3</v>
      </c>
      <c r="G43" s="19">
        <f t="shared" si="1"/>
        <v>4.9136509762135886E-3</v>
      </c>
      <c r="H43" s="19">
        <f t="shared" si="1"/>
        <v>5.0305513727663094E-3</v>
      </c>
      <c r="I43" s="106">
        <f t="shared" si="1"/>
        <v>5.4027759687828684E-3</v>
      </c>
      <c r="J43" s="50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si="1"/>
        <v>0.63239570702986581</v>
      </c>
      <c r="D44" s="132">
        <f t="shared" si="1"/>
        <v>0.70577035476487282</v>
      </c>
      <c r="E44" s="132">
        <f t="shared" si="1"/>
        <v>0.568605693053443</v>
      </c>
      <c r="F44" s="132">
        <f t="shared" si="1"/>
        <v>0.92620956685211497</v>
      </c>
      <c r="G44" s="132">
        <f t="shared" si="1"/>
        <v>0.58236317365975621</v>
      </c>
      <c r="H44" s="132">
        <f t="shared" si="1"/>
        <v>0.50448987073494234</v>
      </c>
      <c r="I44" s="117">
        <f t="shared" si="1"/>
        <v>0.37734400616987213</v>
      </c>
      <c r="J44" s="50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93</v>
      </c>
      <c r="C45" s="132">
        <f t="shared" si="1"/>
        <v>33.635624004484669</v>
      </c>
      <c r="D45" s="132">
        <f t="shared" si="1"/>
        <v>30.933660535086876</v>
      </c>
      <c r="E45" s="132">
        <f t="shared" si="1"/>
        <v>34.82557154376331</v>
      </c>
      <c r="F45" s="132">
        <f t="shared" si="1"/>
        <v>34.473750504379559</v>
      </c>
      <c r="G45" s="132">
        <f t="shared" si="1"/>
        <v>34.048305224127375</v>
      </c>
      <c r="H45" s="132">
        <f t="shared" si="1"/>
        <v>32.404353021115341</v>
      </c>
      <c r="I45" s="117">
        <f t="shared" si="1"/>
        <v>32.785880739906489</v>
      </c>
      <c r="J45" s="50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si="1"/>
        <v>97.178217162572636</v>
      </c>
      <c r="D46" s="144">
        <f t="shared" si="1"/>
        <v>97.341400363820298</v>
      </c>
      <c r="E46" s="144">
        <f t="shared" si="1"/>
        <v>98.162910634882678</v>
      </c>
      <c r="F46" s="144">
        <f t="shared" si="1"/>
        <v>97.980357018559658</v>
      </c>
      <c r="G46" s="144">
        <f t="shared" si="1"/>
        <v>97.739211707823614</v>
      </c>
      <c r="H46" s="144">
        <f t="shared" si="1"/>
        <v>97.930015709616441</v>
      </c>
      <c r="I46" s="129">
        <f t="shared" si="1"/>
        <v>97.907629275521586</v>
      </c>
      <c r="J46" s="93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8" si="2">IFERROR(C24/C$25*100,"")</f>
        <v>2.8217828374273664</v>
      </c>
      <c r="D47" s="132">
        <f t="shared" si="2"/>
        <v>2.6585996361796886</v>
      </c>
      <c r="E47" s="132">
        <f t="shared" si="2"/>
        <v>1.8156732172961785</v>
      </c>
      <c r="F47" s="132">
        <f t="shared" si="2"/>
        <v>1.9952568356812619</v>
      </c>
      <c r="G47" s="132">
        <f t="shared" si="2"/>
        <v>2.2270510275786597</v>
      </c>
      <c r="H47" s="132">
        <f t="shared" si="2"/>
        <v>2.0433719451965455</v>
      </c>
      <c r="I47" s="117">
        <f t="shared" si="2"/>
        <v>2.0661772400711831</v>
      </c>
      <c r="J47" s="50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si="2"/>
        <v>100</v>
      </c>
      <c r="D48" s="144">
        <f t="shared" si="2"/>
        <v>100</v>
      </c>
      <c r="E48" s="144">
        <f t="shared" si="2"/>
        <v>100</v>
      </c>
      <c r="F48" s="144">
        <f t="shared" si="2"/>
        <v>100</v>
      </c>
      <c r="G48" s="144">
        <f t="shared" si="2"/>
        <v>100</v>
      </c>
      <c r="H48" s="144">
        <f t="shared" si="2"/>
        <v>100</v>
      </c>
      <c r="I48" s="129">
        <f t="shared" si="2"/>
        <v>100</v>
      </c>
      <c r="K48" s="50"/>
    </row>
    <row r="49" spans="1:11">
      <c r="A49" s="7"/>
      <c r="B49" s="32"/>
      <c r="C49" s="15"/>
      <c r="D49" s="15"/>
      <c r="E49" s="15"/>
      <c r="F49" s="15"/>
      <c r="G49" s="15"/>
    </row>
    <row r="50" spans="1:11" s="74" customFormat="1" ht="20.25" customHeight="1" thickBot="1">
      <c r="A50" s="190" t="s">
        <v>203</v>
      </c>
      <c r="B50" s="190"/>
      <c r="C50" s="190"/>
      <c r="D50" s="190"/>
      <c r="E50" s="190"/>
      <c r="F50" s="190"/>
      <c r="G50" s="190"/>
      <c r="H50" s="190"/>
      <c r="I50" s="190"/>
      <c r="J50" s="130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10.349791900739064</v>
      </c>
      <c r="E53" s="20">
        <f t="shared" ref="E53:I53" si="3">IFERROR(E7/D7*100-100,"")</f>
        <v>8.4242371799223577</v>
      </c>
      <c r="F53" s="20">
        <f t="shared" si="3"/>
        <v>7.0473479998793778</v>
      </c>
      <c r="G53" s="20">
        <f t="shared" si="3"/>
        <v>-0.41459009540028546</v>
      </c>
      <c r="H53" s="19">
        <f t="shared" si="3"/>
        <v>18.583183960859358</v>
      </c>
      <c r="I53" s="143">
        <f t="shared" si="3"/>
        <v>-0.38305909690905082</v>
      </c>
    </row>
    <row r="54" spans="1:11" ht="32.25" customHeight="1">
      <c r="A54" s="56" t="s">
        <v>1</v>
      </c>
      <c r="B54" s="57" t="s">
        <v>31</v>
      </c>
      <c r="D54" s="20">
        <f t="shared" ref="D54:I69" si="4">IFERROR(D8/C8*100-100,"")</f>
        <v>25.571640684868967</v>
      </c>
      <c r="E54" s="20">
        <f t="shared" si="4"/>
        <v>-80.000443030632326</v>
      </c>
      <c r="F54" s="20">
        <f t="shared" si="4"/>
        <v>19.45336239609388</v>
      </c>
      <c r="G54" s="20">
        <f t="shared" si="4"/>
        <v>63.273703503511115</v>
      </c>
      <c r="H54" s="19">
        <f t="shared" si="4"/>
        <v>134.56961645911517</v>
      </c>
      <c r="I54" s="106">
        <f t="shared" si="4"/>
        <v>53.262780761298984</v>
      </c>
    </row>
    <row r="55" spans="1:11" ht="32.25" customHeight="1">
      <c r="A55" s="56" t="s">
        <v>2</v>
      </c>
      <c r="B55" s="57" t="s">
        <v>3</v>
      </c>
      <c r="D55" s="20">
        <f t="shared" si="4"/>
        <v>-1.4949638370974299</v>
      </c>
      <c r="E55" s="20">
        <f t="shared" si="4"/>
        <v>-9.3031788821401449</v>
      </c>
      <c r="F55" s="20">
        <f t="shared" si="4"/>
        <v>19.479695618169558</v>
      </c>
      <c r="G55" s="20">
        <f t="shared" si="4"/>
        <v>8.8664152468397077</v>
      </c>
      <c r="H55" s="19">
        <f t="shared" si="4"/>
        <v>-4.6998767372005972</v>
      </c>
      <c r="I55" s="106">
        <f t="shared" si="4"/>
        <v>3.3743099818374276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4"/>
        <v>6.314791669410198</v>
      </c>
      <c r="E56" s="20">
        <f t="shared" si="4"/>
        <v>11.777259620437491</v>
      </c>
      <c r="F56" s="20">
        <f t="shared" si="4"/>
        <v>-2.6768954617812284</v>
      </c>
      <c r="G56" s="20">
        <f t="shared" si="4"/>
        <v>12.601843553727349</v>
      </c>
      <c r="H56" s="19">
        <f t="shared" si="4"/>
        <v>4.4404143712033317</v>
      </c>
      <c r="I56" s="106">
        <f t="shared" si="4"/>
        <v>12.026284655560232</v>
      </c>
    </row>
    <row r="57" spans="1:11" ht="32.25" customHeight="1">
      <c r="A57" s="56" t="s">
        <v>4</v>
      </c>
      <c r="B57" s="57" t="s">
        <v>94</v>
      </c>
      <c r="D57" s="20">
        <f t="shared" si="4"/>
        <v>15.360785569428302</v>
      </c>
      <c r="E57" s="20">
        <f t="shared" si="4"/>
        <v>-79.754901237251232</v>
      </c>
      <c r="F57" s="20">
        <f t="shared" si="4"/>
        <v>12.599553452960308</v>
      </c>
      <c r="G57" s="20">
        <f t="shared" si="4"/>
        <v>53.663249120959819</v>
      </c>
      <c r="H57" s="19">
        <f t="shared" si="4"/>
        <v>135.31875009936959</v>
      </c>
      <c r="I57" s="106">
        <f t="shared" si="4"/>
        <v>6.0220394990824389</v>
      </c>
    </row>
    <row r="58" spans="1:11" ht="32.25" customHeight="1">
      <c r="A58" s="56" t="s">
        <v>5</v>
      </c>
      <c r="B58" s="57" t="s">
        <v>54</v>
      </c>
      <c r="D58" s="20">
        <f t="shared" si="4"/>
        <v>13.224823615303237</v>
      </c>
      <c r="E58" s="20">
        <f t="shared" si="4"/>
        <v>48.972523549721473</v>
      </c>
      <c r="F58" s="20">
        <f t="shared" si="4"/>
        <v>39.119690055603371</v>
      </c>
      <c r="G58" s="20">
        <f t="shared" si="4"/>
        <v>35.185148204676949</v>
      </c>
      <c r="H58" s="19">
        <f t="shared" si="4"/>
        <v>-4.5967339798394704</v>
      </c>
      <c r="I58" s="106">
        <f t="shared" si="4"/>
        <v>-7.7254838081773158</v>
      </c>
    </row>
    <row r="59" spans="1:11" ht="32.25" customHeight="1">
      <c r="A59" s="56" t="s">
        <v>6</v>
      </c>
      <c r="B59" s="57" t="s">
        <v>55</v>
      </c>
      <c r="D59" s="20">
        <f t="shared" si="4"/>
        <v>23.299331677478378</v>
      </c>
      <c r="E59" s="20">
        <f t="shared" si="4"/>
        <v>-60.481537320328613</v>
      </c>
      <c r="F59" s="20">
        <f t="shared" si="4"/>
        <v>-65.498956219830148</v>
      </c>
      <c r="G59" s="20">
        <f t="shared" si="4"/>
        <v>61.348356457334063</v>
      </c>
      <c r="H59" s="19">
        <f t="shared" si="4"/>
        <v>12.752744795901023</v>
      </c>
      <c r="I59" s="106">
        <f t="shared" si="4"/>
        <v>41.51468811121498</v>
      </c>
    </row>
    <row r="60" spans="1:11" ht="32.25" customHeight="1">
      <c r="A60" s="56" t="s">
        <v>7</v>
      </c>
      <c r="B60" s="57" t="s">
        <v>32</v>
      </c>
      <c r="D60" s="20">
        <f t="shared" si="4"/>
        <v>-5.8461633600007588</v>
      </c>
      <c r="E60" s="20">
        <f t="shared" si="4"/>
        <v>-63.832989484309607</v>
      </c>
      <c r="F60" s="20">
        <f t="shared" si="4"/>
        <v>12.084574029664722</v>
      </c>
      <c r="G60" s="20">
        <f t="shared" si="4"/>
        <v>32.750108506419338</v>
      </c>
      <c r="H60" s="19">
        <f t="shared" si="4"/>
        <v>-3.269422668902493</v>
      </c>
      <c r="I60" s="106">
        <f t="shared" si="4"/>
        <v>9.0023784028631297</v>
      </c>
    </row>
    <row r="61" spans="1:11" ht="32.25" customHeight="1">
      <c r="A61" s="56" t="s">
        <v>8</v>
      </c>
      <c r="B61" s="57" t="s">
        <v>56</v>
      </c>
      <c r="D61" s="20">
        <f t="shared" si="4"/>
        <v>0.11617295706973607</v>
      </c>
      <c r="E61" s="20">
        <f t="shared" si="4"/>
        <v>1.3858519007432335</v>
      </c>
      <c r="F61" s="20">
        <f t="shared" si="4"/>
        <v>5.9948389795146539</v>
      </c>
      <c r="G61" s="20">
        <f t="shared" si="4"/>
        <v>-1.110355038662064</v>
      </c>
      <c r="H61" s="19">
        <f t="shared" si="4"/>
        <v>7.3245587616385137</v>
      </c>
      <c r="I61" s="106">
        <f t="shared" si="4"/>
        <v>6.8231890877593457</v>
      </c>
    </row>
    <row r="62" spans="1:11" ht="32.25" customHeight="1">
      <c r="A62" s="56" t="s">
        <v>9</v>
      </c>
      <c r="B62" s="57" t="s">
        <v>57</v>
      </c>
      <c r="D62" s="20">
        <f t="shared" si="4"/>
        <v>11.282439298474728</v>
      </c>
      <c r="E62" s="20">
        <f t="shared" si="4"/>
        <v>-5.0021215454267463</v>
      </c>
      <c r="F62" s="20">
        <f t="shared" si="4"/>
        <v>-13.59935280365832</v>
      </c>
      <c r="G62" s="20">
        <f t="shared" si="4"/>
        <v>-6.7103976094883677</v>
      </c>
      <c r="H62" s="19">
        <f t="shared" si="4"/>
        <v>9.2332856652315769</v>
      </c>
      <c r="I62" s="106">
        <f t="shared" si="4"/>
        <v>15.837738246791403</v>
      </c>
    </row>
    <row r="63" spans="1:11" ht="32.25" customHeight="1">
      <c r="A63" s="56" t="s">
        <v>70</v>
      </c>
      <c r="B63" s="57" t="s">
        <v>95</v>
      </c>
      <c r="D63" s="20">
        <f t="shared" si="4"/>
        <v>5.6491615582961145</v>
      </c>
      <c r="E63" s="20">
        <f t="shared" si="4"/>
        <v>-5.2922185930035113</v>
      </c>
      <c r="F63" s="20">
        <f t="shared" si="4"/>
        <v>30.337914509796576</v>
      </c>
      <c r="G63" s="20">
        <f t="shared" si="4"/>
        <v>4.9451025387847523</v>
      </c>
      <c r="H63" s="19">
        <f t="shared" si="4"/>
        <v>20.817447774220881</v>
      </c>
      <c r="I63" s="106">
        <f t="shared" si="4"/>
        <v>-6.1111799503324278</v>
      </c>
    </row>
    <row r="64" spans="1:11" ht="32.25" customHeight="1">
      <c r="A64" s="56" t="s">
        <v>10</v>
      </c>
      <c r="B64" s="57" t="s">
        <v>58</v>
      </c>
      <c r="D64" s="20">
        <f t="shared" si="4"/>
        <v>5.4025526576770204</v>
      </c>
      <c r="E64" s="20">
        <f t="shared" si="4"/>
        <v>19.394011443522018</v>
      </c>
      <c r="F64" s="20">
        <f t="shared" si="4"/>
        <v>-14.112025748464362</v>
      </c>
      <c r="G64" s="20">
        <f t="shared" si="4"/>
        <v>4.0226096141655461</v>
      </c>
      <c r="H64" s="19">
        <f t="shared" si="4"/>
        <v>12.304615132489303</v>
      </c>
      <c r="I64" s="106">
        <f t="shared" si="4"/>
        <v>11.762218223063385</v>
      </c>
    </row>
    <row r="65" spans="1:9" ht="32.25" customHeight="1">
      <c r="A65" s="56" t="s">
        <v>59</v>
      </c>
      <c r="B65" s="57" t="s">
        <v>60</v>
      </c>
      <c r="D65" s="20">
        <f t="shared" si="4"/>
        <v>58.163583354654151</v>
      </c>
      <c r="E65" s="20">
        <f t="shared" si="4"/>
        <v>4.0722764637692848</v>
      </c>
      <c r="F65" s="20">
        <f t="shared" si="4"/>
        <v>-5.6589090248305354</v>
      </c>
      <c r="G65" s="20">
        <f t="shared" si="4"/>
        <v>30.185689527185417</v>
      </c>
      <c r="H65" s="19">
        <f t="shared" si="4"/>
        <v>6.5889034907930437</v>
      </c>
      <c r="I65" s="106">
        <f t="shared" si="4"/>
        <v>4.0400897211322615</v>
      </c>
    </row>
    <row r="66" spans="1:9" ht="32.25" customHeight="1">
      <c r="A66" s="56" t="s">
        <v>66</v>
      </c>
      <c r="B66" s="57" t="s">
        <v>67</v>
      </c>
      <c r="D66" s="20">
        <f t="shared" si="4"/>
        <v>-20.366811044443253</v>
      </c>
      <c r="E66" s="20">
        <f t="shared" si="4"/>
        <v>-50.701766688632546</v>
      </c>
      <c r="F66" s="20">
        <f t="shared" si="4"/>
        <v>10.653870748107977</v>
      </c>
      <c r="G66" s="20">
        <f t="shared" si="4"/>
        <v>9.3410483558597548</v>
      </c>
      <c r="H66" s="19">
        <f t="shared" si="4"/>
        <v>19.732696303404438</v>
      </c>
      <c r="I66" s="106">
        <f t="shared" si="4"/>
        <v>9.5618744363992221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4"/>
        <v>16.245870790825606</v>
      </c>
      <c r="E67" s="23">
        <f t="shared" si="4"/>
        <v>-19.646724417975079</v>
      </c>
      <c r="F67" s="24">
        <f t="shared" si="4"/>
        <v>76.45116969250077</v>
      </c>
      <c r="G67" s="24">
        <f t="shared" si="4"/>
        <v>-36.414190213326577</v>
      </c>
      <c r="H67" s="132">
        <f t="shared" si="4"/>
        <v>1.3117986131641715</v>
      </c>
      <c r="I67" s="131">
        <f t="shared" si="4"/>
        <v>-23.696740948343304</v>
      </c>
    </row>
    <row r="68" spans="1:9" ht="32.25" customHeight="1">
      <c r="A68" s="25"/>
      <c r="B68" s="78" t="s">
        <v>93</v>
      </c>
      <c r="C68" s="82"/>
      <c r="D68" s="24">
        <f t="shared" si="4"/>
        <v>-4.2067600952412931</v>
      </c>
      <c r="E68" s="24">
        <f t="shared" si="4"/>
        <v>12.285255439273925</v>
      </c>
      <c r="F68" s="24">
        <f t="shared" si="4"/>
        <v>7.2301131723217651</v>
      </c>
      <c r="G68" s="24">
        <f t="shared" si="4"/>
        <v>-0.1190808520301232</v>
      </c>
      <c r="H68" s="24">
        <f t="shared" si="4"/>
        <v>11.303631482293369</v>
      </c>
      <c r="I68" s="117">
        <f t="shared" si="4"/>
        <v>3.21470666978216</v>
      </c>
    </row>
    <row r="69" spans="1:9" ht="32.25" customHeight="1">
      <c r="A69" s="34"/>
      <c r="B69" s="79" t="s">
        <v>33</v>
      </c>
      <c r="C69" s="82"/>
      <c r="D69" s="33">
        <f t="shared" si="4"/>
        <v>4.3354031506604542</v>
      </c>
      <c r="E69" s="33">
        <f t="shared" si="4"/>
        <v>0.57861047610828109</v>
      </c>
      <c r="F69" s="33">
        <f t="shared" si="4"/>
        <v>8.1229965055610052</v>
      </c>
      <c r="G69" s="88">
        <f t="shared" si="4"/>
        <v>0.88007103437479373</v>
      </c>
      <c r="H69" s="88">
        <f t="shared" si="4"/>
        <v>17.178644817277473</v>
      </c>
      <c r="I69" s="129">
        <f t="shared" si="4"/>
        <v>1.9902821611712085</v>
      </c>
    </row>
    <row r="70" spans="1:9" ht="32.25" customHeight="1">
      <c r="A70" s="21" t="s">
        <v>25</v>
      </c>
      <c r="B70" s="80" t="s">
        <v>34</v>
      </c>
      <c r="C70" s="82"/>
      <c r="D70" s="24">
        <f t="shared" ref="D70:I71" si="5">IFERROR(D24/C24*100-100,"")</f>
        <v>-1.8630877743239296</v>
      </c>
      <c r="E70" s="24">
        <f t="shared" si="5"/>
        <v>-31.88534827201444</v>
      </c>
      <c r="F70" s="24">
        <f t="shared" si="5"/>
        <v>19.038543038168854</v>
      </c>
      <c r="G70" s="24">
        <f t="shared" si="5"/>
        <v>12.87738133325675</v>
      </c>
      <c r="H70" s="24">
        <f t="shared" si="5"/>
        <v>7.3046981647642895</v>
      </c>
      <c r="I70" s="117">
        <f t="shared" si="5"/>
        <v>3.1521369895245925</v>
      </c>
    </row>
    <row r="71" spans="1:9" ht="32.25" customHeight="1">
      <c r="A71" s="30"/>
      <c r="B71" s="81" t="s">
        <v>35</v>
      </c>
      <c r="C71" s="82"/>
      <c r="D71" s="31">
        <f t="shared" si="5"/>
        <v>4.1604951975597686</v>
      </c>
      <c r="E71" s="31">
        <f t="shared" si="5"/>
        <v>-0.26311641463800584</v>
      </c>
      <c r="F71" s="31">
        <f t="shared" si="5"/>
        <v>8.3244475373839748</v>
      </c>
      <c r="G71" s="31">
        <f t="shared" si="5"/>
        <v>1.1289655737473794</v>
      </c>
      <c r="H71" s="31">
        <f t="shared" si="5"/>
        <v>16.950337344907695</v>
      </c>
      <c r="I71" s="129">
        <f t="shared" si="5"/>
        <v>2.0136020877878735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>
      <c r="A86" s="18"/>
      <c r="B86" s="101"/>
      <c r="C86" s="10"/>
      <c r="D86" s="101"/>
      <c r="E86" s="101"/>
    </row>
    <row r="87" spans="1:8">
      <c r="A87" s="18"/>
      <c r="B87" s="101"/>
      <c r="C87" s="101"/>
      <c r="D87" s="101"/>
      <c r="E87" s="101"/>
    </row>
    <row r="88" spans="1:8">
      <c r="A88" s="61"/>
      <c r="B88" s="101"/>
      <c r="C88" s="101"/>
      <c r="D88" s="101"/>
      <c r="E88" s="101"/>
    </row>
    <row r="89" spans="1:8">
      <c r="A89" s="64"/>
      <c r="B89" s="45"/>
      <c r="C89" s="45"/>
      <c r="D89" s="101"/>
      <c r="E89" s="101"/>
    </row>
    <row r="90" spans="1:8">
      <c r="A90" s="64"/>
      <c r="B90" s="45"/>
      <c r="C90" s="45"/>
      <c r="D90" s="101"/>
      <c r="E90" s="101"/>
    </row>
    <row r="91" spans="1:8">
      <c r="A91" s="64"/>
      <c r="B91" s="45"/>
      <c r="C91" s="45"/>
      <c r="D91" s="101"/>
      <c r="E91" s="101"/>
    </row>
    <row r="92" spans="1:8">
      <c r="A92" s="64"/>
      <c r="B92" s="45"/>
      <c r="C92" s="45"/>
      <c r="D92" s="101"/>
      <c r="E92" s="101"/>
    </row>
    <row r="93" spans="1:8">
      <c r="A93" s="64"/>
      <c r="B93" s="45"/>
      <c r="C93" s="45"/>
      <c r="D93" s="101"/>
      <c r="E93" s="101"/>
    </row>
    <row r="94" spans="1:8">
      <c r="A94" s="91"/>
      <c r="B94" s="101"/>
      <c r="C94" s="59"/>
      <c r="D94" s="101"/>
      <c r="E94" s="101"/>
    </row>
    <row r="95" spans="1:8">
      <c r="A95" s="7"/>
      <c r="B95" s="101"/>
      <c r="C95" s="18"/>
      <c r="D95" s="101"/>
      <c r="E95" s="101"/>
    </row>
    <row r="96" spans="1:8">
      <c r="B96" s="101"/>
      <c r="C96" s="18"/>
      <c r="D96" s="101"/>
      <c r="E96" s="101"/>
    </row>
    <row r="97" spans="1:5">
      <c r="B97" s="101"/>
      <c r="C97" s="18"/>
      <c r="D97" s="101"/>
      <c r="E97" s="101"/>
    </row>
    <row r="98" spans="1:5">
      <c r="B98" s="101"/>
      <c r="C98" s="18"/>
      <c r="D98" s="101"/>
      <c r="E98" s="101"/>
    </row>
    <row r="99" spans="1:5">
      <c r="A99" s="61"/>
      <c r="B99" s="101"/>
      <c r="C99" s="101"/>
      <c r="D99" s="101"/>
      <c r="E99" s="101"/>
    </row>
    <row r="100" spans="1:5">
      <c r="A100" s="61"/>
      <c r="B100" s="101"/>
      <c r="C100" s="101"/>
      <c r="D100" s="101"/>
      <c r="E100" s="101"/>
    </row>
  </sheetData>
  <mergeCells count="9">
    <mergeCell ref="A73:E73"/>
    <mergeCell ref="A5:A6"/>
    <mergeCell ref="A28:A29"/>
    <mergeCell ref="A51:A52"/>
    <mergeCell ref="B28:B29"/>
    <mergeCell ref="C28:I28"/>
    <mergeCell ref="B51:C52"/>
    <mergeCell ref="B5:B6"/>
    <mergeCell ref="C5:I5"/>
  </mergeCells>
  <hyperlinks>
    <hyperlink ref="K2" location="Índice!A1" display="Índice"/>
    <hyperlink ref="K3" location="'Cuadro 6-Darién'!A27" display="Composición "/>
    <hyperlink ref="K4" location="'Cuadro 6-Darién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5" max="8" man="1"/>
    <brk id="49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P2"/>
  <sheetViews>
    <sheetView zoomScaleNormal="10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57" orientation="portrait" r:id="rId1"/>
  <colBreaks count="1" manualBreakCount="1">
    <brk id="14" max="48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92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165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166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101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89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Toro'!C$6,DATOS!$B:$B,"B100101_06",DATOS!$G:$G,"0311",DATOS!$C:$C,"00")</f>
        <v>78.008524649129001</v>
      </c>
      <c r="D7" s="194">
        <f>SUMIFS(DATOS!$F:$F,DATOS!$D:$D,$A7,DATOS!$A:$A,'Cuadro 2-Bocas del Toro'!D$6,DATOS!$B:$B,"B100101_06",DATOS!$G:$G,"0311",DATOS!$C:$C,"00")</f>
        <v>78.121252711819977</v>
      </c>
      <c r="E7" s="194">
        <f>SUMIFS(DATOS!$F:$F,DATOS!$D:$D,$A7,DATOS!$A:$A,'Cuadro 2-Bocas del Toro'!E$6,DATOS!$B:$B,"B100101_06",DATOS!$G:$G,"0311",DATOS!$C:$C,"00")</f>
        <v>88.767883795928697</v>
      </c>
      <c r="F7" s="194">
        <f>SUMIFS(DATOS!$F:$F,DATOS!$D:$D,$A7,DATOS!$A:$A,'Cuadro 2-Bocas del Toro'!F$6,DATOS!$B:$B,"B100101_06",DATOS!$G:$G,"0311",DATOS!$C:$C,"00")</f>
        <v>92.045933929979242</v>
      </c>
      <c r="G7" s="194">
        <f>SUMIFS(DATOS!$F:$F,DATOS!$D:$D,$A7,DATOS!$A:$A,'Cuadro 2-Bocas del Toro'!G$6,DATOS!$B:$B,"B100101_06",DATOS!$G:$G,"0311",DATOS!$C:$C,"00")</f>
        <v>130.71549329204814</v>
      </c>
      <c r="H7" s="194">
        <f>SUMIFS(DATOS!$F:$F,DATOS!$D:$D,$A7,DATOS!$A:$A,'Cuadro 2-Bocas del Toro'!H$6,DATOS!$B:$B,"B100101_06",DATOS!$G:$G,"0311",DATOS!$C:$C,"00")</f>
        <v>129.60366630630392</v>
      </c>
      <c r="I7" s="195">
        <f>SUMIFS(DATOS!$F:$F,DATOS!$D:$D,$A7,DATOS!$A:$A,'Cuadro 2-Bocas del Toro'!I$6,DATOS!$B:$B,"B100101_06",DATOS!$G:$G,"0311",DATOS!$C:$C,"00")</f>
        <v>173.45451543853775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Toro'!C$6,DATOS!$B:$B,"B100101_06",DATOS!$G:$G,"0311",DATOS!$C:$C,"00")</f>
        <v>8.8146158602672564</v>
      </c>
      <c r="D8" s="194">
        <f>SUMIFS(DATOS!$F:$F,DATOS!$D:$D,$A8,DATOS!$A:$A,'Cuadro 2-Bocas del Toro'!D$6,DATOS!$B:$B,"B100101_06",DATOS!$G:$G,"0311",DATOS!$C:$C,"00")</f>
        <v>9.7880556237957652</v>
      </c>
      <c r="E8" s="194">
        <f>SUMIFS(DATOS!$F:$F,DATOS!$D:$D,$A8,DATOS!$A:$A,'Cuadro 2-Bocas del Toro'!E$6,DATOS!$B:$B,"B100101_06",DATOS!$G:$G,"0311",DATOS!$C:$C,"00")</f>
        <v>5.0624476209773031</v>
      </c>
      <c r="F8" s="194">
        <f>SUMIFS(DATOS!$F:$F,DATOS!$D:$D,$A8,DATOS!$A:$A,'Cuadro 2-Bocas del Toro'!F$6,DATOS!$B:$B,"B100101_06",DATOS!$G:$G,"0311",DATOS!$C:$C,"00")</f>
        <v>7.3410700593033926</v>
      </c>
      <c r="G8" s="194">
        <f>SUMIFS(DATOS!$F:$F,DATOS!$D:$D,$A8,DATOS!$A:$A,'Cuadro 2-Bocas del Toro'!G$6,DATOS!$B:$B,"B100101_06",DATOS!$G:$G,"0311",DATOS!$C:$C,"00")</f>
        <v>8.7846173438273745</v>
      </c>
      <c r="H8" s="194">
        <f>SUMIFS(DATOS!$F:$F,DATOS!$D:$D,$A8,DATOS!$A:$A,'Cuadro 2-Bocas del Toro'!H$6,DATOS!$B:$B,"B100101_06",DATOS!$G:$G,"0311",DATOS!$C:$C,"00")</f>
        <v>9.2359473690367366</v>
      </c>
      <c r="I8" s="195">
        <f>SUMIFS(DATOS!$F:$F,DATOS!$D:$D,$A8,DATOS!$A:$A,'Cuadro 2-Bocas del Toro'!I$6,DATOS!$B:$B,"B100101_06",DATOS!$G:$G,"0311",DATOS!$C:$C,"00")</f>
        <v>17.680671541066573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Toro'!C$6,DATOS!$B:$B,"B100101_06",DATOS!$G:$G,"0311",DATOS!$C:$C,"00")</f>
        <v>45.047187005281415</v>
      </c>
      <c r="D9" s="194">
        <f>SUMIFS(DATOS!$F:$F,DATOS!$D:$D,$A9,DATOS!$A:$A,'Cuadro 2-Bocas del Toro'!D$6,DATOS!$B:$B,"B100101_06",DATOS!$G:$G,"0311",DATOS!$C:$C,"00")</f>
        <v>43.965568219014742</v>
      </c>
      <c r="E9" s="194">
        <f>SUMIFS(DATOS!$F:$F,DATOS!$D:$D,$A9,DATOS!$A:$A,'Cuadro 2-Bocas del Toro'!E$6,DATOS!$B:$B,"B100101_06",DATOS!$G:$G,"0311",DATOS!$C:$C,"00")</f>
        <v>36.960530292477131</v>
      </c>
      <c r="F9" s="194">
        <f>SUMIFS(DATOS!$F:$F,DATOS!$D:$D,$A9,DATOS!$A:$A,'Cuadro 2-Bocas del Toro'!F$6,DATOS!$B:$B,"B100101_06",DATOS!$G:$G,"0311",DATOS!$C:$C,"00")</f>
        <v>48.061987180800635</v>
      </c>
      <c r="G9" s="194">
        <f>SUMIFS(DATOS!$F:$F,DATOS!$D:$D,$A9,DATOS!$A:$A,'Cuadro 2-Bocas del Toro'!G$6,DATOS!$B:$B,"B100101_06",DATOS!$G:$G,"0311",DATOS!$C:$C,"00")</f>
        <v>48.498810293477547</v>
      </c>
      <c r="H9" s="194">
        <f>SUMIFS(DATOS!$F:$F,DATOS!$D:$D,$A9,DATOS!$A:$A,'Cuadro 2-Bocas del Toro'!H$6,DATOS!$B:$B,"B100101_06",DATOS!$G:$G,"0311",DATOS!$C:$C,"00")</f>
        <v>40.701067557936078</v>
      </c>
      <c r="I9" s="195">
        <f>SUMIFS(DATOS!$F:$F,DATOS!$D:$D,$A9,DATOS!$A:$A,'Cuadro 2-Bocas del Toro'!I$6,DATOS!$B:$B,"B100101_06",DATOS!$G:$G,"0311",DATOS!$C:$C,"00")</f>
        <v>41.260774197928875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Toro'!C$6,DATOS!$B:$B,"B100101_06",DATOS!$G:$G,"0311",DATOS!$C:$C,"00")</f>
        <v>15.209524186245371</v>
      </c>
      <c r="D10" s="194">
        <f>SUMIFS(DATOS!$F:$F,DATOS!$D:$D,$A10,DATOS!$A:$A,'Cuadro 2-Bocas del Toro'!D$6,DATOS!$B:$B,"B100101_06",DATOS!$G:$G,"0311",DATOS!$C:$C,"00")</f>
        <v>16.18845369042586</v>
      </c>
      <c r="E10" s="194">
        <f>SUMIFS(DATOS!$F:$F,DATOS!$D:$D,$A10,DATOS!$A:$A,'Cuadro 2-Bocas del Toro'!E$6,DATOS!$B:$B,"B100101_06",DATOS!$G:$G,"0311",DATOS!$C:$C,"00")</f>
        <v>20.960613422945411</v>
      </c>
      <c r="F10" s="194">
        <f>SUMIFS(DATOS!$F:$F,DATOS!$D:$D,$A10,DATOS!$A:$A,'Cuadro 2-Bocas del Toro'!F$6,DATOS!$B:$B,"B100101_06",DATOS!$G:$G,"0311",DATOS!$C:$C,"00")</f>
        <v>34.420054176420848</v>
      </c>
      <c r="G10" s="194">
        <f>SUMIFS(DATOS!$F:$F,DATOS!$D:$D,$A10,DATOS!$A:$A,'Cuadro 2-Bocas del Toro'!G$6,DATOS!$B:$B,"B100101_06",DATOS!$G:$G,"0311",DATOS!$C:$C,"00")</f>
        <v>44.910719508026105</v>
      </c>
      <c r="H10" s="194">
        <f>SUMIFS(DATOS!$F:$F,DATOS!$D:$D,$A10,DATOS!$A:$A,'Cuadro 2-Bocas del Toro'!H$6,DATOS!$B:$B,"B100101_06",DATOS!$G:$G,"0311",DATOS!$C:$C,"00")</f>
        <v>52.907996469968559</v>
      </c>
      <c r="I10" s="195">
        <f>SUMIFS(DATOS!$F:$F,DATOS!$D:$D,$A10,DATOS!$A:$A,'Cuadro 2-Bocas del Toro'!I$6,DATOS!$B:$B,"B100101_06",DATOS!$G:$G,"0311",DATOS!$C:$C,"00")</f>
        <v>61.160922257828226</v>
      </c>
    </row>
    <row r="11" spans="1:12" ht="32.25" customHeight="1">
      <c r="A11" s="56" t="s">
        <v>4</v>
      </c>
      <c r="B11" s="60" t="s">
        <v>94</v>
      </c>
      <c r="C11" s="194">
        <f>SUMIFS(DATOS!$F:$F,DATOS!$D:$D,$A11,DATOS!$A:$A,'Cuadro 2-Bocas del Toro'!C$6,DATOS!$B:$B,"B100101_06",DATOS!$G:$G,"0311",DATOS!$C:$C,"00")</f>
        <v>119.61244872585743</v>
      </c>
      <c r="D11" s="194">
        <f>SUMIFS(DATOS!$F:$F,DATOS!$D:$D,$A11,DATOS!$A:$A,'Cuadro 2-Bocas del Toro'!D$6,DATOS!$B:$B,"B100101_06",DATOS!$G:$G,"0311",DATOS!$C:$C,"00")</f>
        <v>121.50055061640313</v>
      </c>
      <c r="E11" s="194">
        <f>SUMIFS(DATOS!$F:$F,DATOS!$D:$D,$A11,DATOS!$A:$A,'Cuadro 2-Bocas del Toro'!E$6,DATOS!$B:$B,"B100101_06",DATOS!$G:$G,"0311",DATOS!$C:$C,"00")</f>
        <v>63.421648547294005</v>
      </c>
      <c r="F11" s="194">
        <f>SUMIFS(DATOS!$F:$F,DATOS!$D:$D,$A11,DATOS!$A:$A,'Cuadro 2-Bocas del Toro'!F$6,DATOS!$B:$B,"B100101_06",DATOS!$G:$G,"0311",DATOS!$C:$C,"00")</f>
        <v>88.292468486969142</v>
      </c>
      <c r="G11" s="194">
        <f>SUMIFS(DATOS!$F:$F,DATOS!$D:$D,$A11,DATOS!$A:$A,'Cuadro 2-Bocas del Toro'!G$6,DATOS!$B:$B,"B100101_06",DATOS!$G:$G,"0311",DATOS!$C:$C,"00")</f>
        <v>98.403030834301191</v>
      </c>
      <c r="H11" s="194">
        <f>SUMIFS(DATOS!$F:$F,DATOS!$D:$D,$A11,DATOS!$A:$A,'Cuadro 2-Bocas del Toro'!H$6,DATOS!$B:$B,"B100101_06",DATOS!$G:$G,"0311",DATOS!$C:$C,"00")</f>
        <v>103.4255085637418</v>
      </c>
      <c r="I11" s="195">
        <f>SUMIFS(DATOS!$F:$F,DATOS!$D:$D,$A11,DATOS!$A:$A,'Cuadro 2-Bocas del Toro'!I$6,DATOS!$B:$B,"B100101_06",DATOS!$G:$G,"0311",DATOS!$C:$C,"00")</f>
        <v>138.31546533155347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Toro'!C$6,DATOS!$B:$B,"B100101_06",DATOS!$G:$G,"0311",DATOS!$C:$C,"00")</f>
        <v>17.748569288241512</v>
      </c>
      <c r="D12" s="194">
        <f>SUMIFS(DATOS!$F:$F,DATOS!$D:$D,$A12,DATOS!$A:$A,'Cuadro 2-Bocas del Toro'!D$6,DATOS!$B:$B,"B100101_06",DATOS!$G:$G,"0311",DATOS!$C:$C,"00")</f>
        <v>17.752819907176182</v>
      </c>
      <c r="E12" s="194">
        <f>SUMIFS(DATOS!$F:$F,DATOS!$D:$D,$A12,DATOS!$A:$A,'Cuadro 2-Bocas del Toro'!E$6,DATOS!$B:$B,"B100101_06",DATOS!$G:$G,"0311",DATOS!$C:$C,"00")</f>
        <v>12.594221539744742</v>
      </c>
      <c r="F12" s="194">
        <f>SUMIFS(DATOS!$F:$F,DATOS!$D:$D,$A12,DATOS!$A:$A,'Cuadro 2-Bocas del Toro'!F$6,DATOS!$B:$B,"B100101_06",DATOS!$G:$G,"0311",DATOS!$C:$C,"00")</f>
        <v>18.184155973070283</v>
      </c>
      <c r="G12" s="194">
        <f>SUMIFS(DATOS!$F:$F,DATOS!$D:$D,$A12,DATOS!$A:$A,'Cuadro 2-Bocas del Toro'!G$6,DATOS!$B:$B,"B100101_06",DATOS!$G:$G,"0311",DATOS!$C:$C,"00")</f>
        <v>20.942778243614679</v>
      </c>
      <c r="H12" s="194">
        <f>SUMIFS(DATOS!$F:$F,DATOS!$D:$D,$A12,DATOS!$A:$A,'Cuadro 2-Bocas del Toro'!H$6,DATOS!$B:$B,"B100101_06",DATOS!$G:$G,"0311",DATOS!$C:$C,"00")</f>
        <v>25.401982392949108</v>
      </c>
      <c r="I12" s="195">
        <f>SUMIFS(DATOS!$F:$F,DATOS!$D:$D,$A12,DATOS!$A:$A,'Cuadro 2-Bocas del Toro'!I$6,DATOS!$B:$B,"B100101_06",DATOS!$G:$G,"0311",DATOS!$C:$C,"00")</f>
        <v>24.548516967102277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Toro'!C$6,DATOS!$B:$B,"B100101_06",DATOS!$G:$G,"0311",DATOS!$C:$C,"00")</f>
        <v>41.70728125347113</v>
      </c>
      <c r="D13" s="194">
        <f>SUMIFS(DATOS!$F:$F,DATOS!$D:$D,$A13,DATOS!$A:$A,'Cuadro 2-Bocas del Toro'!D$6,DATOS!$B:$B,"B100101_06",DATOS!$G:$G,"0311",DATOS!$C:$C,"00")</f>
        <v>44.727561821982455</v>
      </c>
      <c r="E13" s="194">
        <f>SUMIFS(DATOS!$F:$F,DATOS!$D:$D,$A13,DATOS!$A:$A,'Cuadro 2-Bocas del Toro'!E$6,DATOS!$B:$B,"B100101_06",DATOS!$G:$G,"0311",DATOS!$C:$C,"00")</f>
        <v>30.307449836308521</v>
      </c>
      <c r="F13" s="194">
        <f>SUMIFS(DATOS!$F:$F,DATOS!$D:$D,$A13,DATOS!$A:$A,'Cuadro 2-Bocas del Toro'!F$6,DATOS!$B:$B,"B100101_06",DATOS!$G:$G,"0311",DATOS!$C:$C,"00")</f>
        <v>38.37724081003087</v>
      </c>
      <c r="G13" s="194">
        <f>SUMIFS(DATOS!$F:$F,DATOS!$D:$D,$A13,DATOS!$A:$A,'Cuadro 2-Bocas del Toro'!G$6,DATOS!$B:$B,"B100101_06",DATOS!$G:$G,"0311",DATOS!$C:$C,"00")</f>
        <v>40.623733419094606</v>
      </c>
      <c r="H13" s="194">
        <f>SUMIFS(DATOS!$F:$F,DATOS!$D:$D,$A13,DATOS!$A:$A,'Cuadro 2-Bocas del Toro'!H$6,DATOS!$B:$B,"B100101_06",DATOS!$G:$G,"0311",DATOS!$C:$C,"00")</f>
        <v>43.240407167301186</v>
      </c>
      <c r="I13" s="195">
        <f>SUMIFS(DATOS!$F:$F,DATOS!$D:$D,$A13,DATOS!$A:$A,'Cuadro 2-Bocas del Toro'!I$6,DATOS!$B:$B,"B100101_06",DATOS!$G:$G,"0311",DATOS!$C:$C,"00")</f>
        <v>46.290339077654629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Toro'!C$6,DATOS!$B:$B,"B100101_06",DATOS!$G:$G,"0311",DATOS!$C:$C,"00")</f>
        <v>13.408386302101327</v>
      </c>
      <c r="D14" s="194">
        <f>SUMIFS(DATOS!$F:$F,DATOS!$D:$D,$A14,DATOS!$A:$A,'Cuadro 2-Bocas del Toro'!D$6,DATOS!$B:$B,"B100101_06",DATOS!$G:$G,"0311",DATOS!$C:$C,"00")</f>
        <v>12.162519097353181</v>
      </c>
      <c r="E14" s="194">
        <f>SUMIFS(DATOS!$F:$F,DATOS!$D:$D,$A14,DATOS!$A:$A,'Cuadro 2-Bocas del Toro'!E$6,DATOS!$B:$B,"B100101_06",DATOS!$G:$G,"0311",DATOS!$C:$C,"00")</f>
        <v>5.4991706945430785</v>
      </c>
      <c r="F14" s="194">
        <f>SUMIFS(DATOS!$F:$F,DATOS!$D:$D,$A14,DATOS!$A:$A,'Cuadro 2-Bocas del Toro'!F$6,DATOS!$B:$B,"B100101_06",DATOS!$G:$G,"0311",DATOS!$C:$C,"00")</f>
        <v>5.2653650702469408</v>
      </c>
      <c r="G14" s="194">
        <f>SUMIFS(DATOS!$F:$F,DATOS!$D:$D,$A14,DATOS!$A:$A,'Cuadro 2-Bocas del Toro'!G$6,DATOS!$B:$B,"B100101_06",DATOS!$G:$G,"0311",DATOS!$C:$C,"00")</f>
        <v>7.0549418588164485</v>
      </c>
      <c r="H14" s="194">
        <f>SUMIFS(DATOS!$F:$F,DATOS!$D:$D,$A14,DATOS!$A:$A,'Cuadro 2-Bocas del Toro'!H$6,DATOS!$B:$B,"B100101_06",DATOS!$G:$G,"0311",DATOS!$C:$C,"00")</f>
        <v>6.7037875135446177</v>
      </c>
      <c r="I14" s="195">
        <f>SUMIFS(DATOS!$F:$F,DATOS!$D:$D,$A14,DATOS!$A:$A,'Cuadro 2-Bocas del Toro'!I$6,DATOS!$B:$B,"B100101_06",DATOS!$G:$G,"0311",DATOS!$C:$C,"00")</f>
        <v>7.1002763766340751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Toro'!C$6,DATOS!$B:$B,"B100101_06",DATOS!$G:$G,"0311",DATOS!$C:$C,"00")</f>
        <v>45.461533473608739</v>
      </c>
      <c r="D15" s="194">
        <f>SUMIFS(DATOS!$F:$F,DATOS!$D:$D,$A15,DATOS!$A:$A,'Cuadro 2-Bocas del Toro'!D$6,DATOS!$B:$B,"B100101_06",DATOS!$G:$G,"0311",DATOS!$C:$C,"00")</f>
        <v>44.950552769164162</v>
      </c>
      <c r="E15" s="194">
        <f>SUMIFS(DATOS!$F:$F,DATOS!$D:$D,$A15,DATOS!$A:$A,'Cuadro 2-Bocas del Toro'!E$6,DATOS!$B:$B,"B100101_06",DATOS!$G:$G,"0311",DATOS!$C:$C,"00")</f>
        <v>45.027150936290518</v>
      </c>
      <c r="F15" s="194">
        <f>SUMIFS(DATOS!$F:$F,DATOS!$D:$D,$A15,DATOS!$A:$A,'Cuadro 2-Bocas del Toro'!F$6,DATOS!$B:$B,"B100101_06",DATOS!$G:$G,"0311",DATOS!$C:$C,"00")</f>
        <v>47.1193777191761</v>
      </c>
      <c r="G15" s="194">
        <f>SUMIFS(DATOS!$F:$F,DATOS!$D:$D,$A15,DATOS!$A:$A,'Cuadro 2-Bocas del Toro'!G$6,DATOS!$B:$B,"B100101_06",DATOS!$G:$G,"0311",DATOS!$C:$C,"00")</f>
        <v>46.027472171126377</v>
      </c>
      <c r="H15" s="194">
        <f>SUMIFS(DATOS!$F:$F,DATOS!$D:$D,$A15,DATOS!$A:$A,'Cuadro 2-Bocas del Toro'!H$6,DATOS!$B:$B,"B100101_06",DATOS!$G:$G,"0311",DATOS!$C:$C,"00")</f>
        <v>48.795863668234858</v>
      </c>
      <c r="I15" s="195">
        <f>SUMIFS(DATOS!$F:$F,DATOS!$D:$D,$A15,DATOS!$A:$A,'Cuadro 2-Bocas del Toro'!I$6,DATOS!$B:$B,"B100101_06",DATOS!$G:$G,"0311",DATOS!$C:$C,"00")</f>
        <v>51.433383459095396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Toro'!C$6,DATOS!$B:$B,"B100101_06",DATOS!$G:$G,"0311",DATOS!$C:$C,"00")</f>
        <v>51.246709278925834</v>
      </c>
      <c r="D16" s="194">
        <f>SUMIFS(DATOS!$F:$F,DATOS!$D:$D,$A16,DATOS!$A:$A,'Cuadro 2-Bocas del Toro'!D$6,DATOS!$B:$B,"B100101_06",DATOS!$G:$G,"0311",DATOS!$C:$C,"00")</f>
        <v>53.28343768151214</v>
      </c>
      <c r="E16" s="194">
        <f>SUMIFS(DATOS!$F:$F,DATOS!$D:$D,$A16,DATOS!$A:$A,'Cuadro 2-Bocas del Toro'!E$6,DATOS!$B:$B,"B100101_06",DATOS!$G:$G,"0311",DATOS!$C:$C,"00")</f>
        <v>49.720728791108321</v>
      </c>
      <c r="F16" s="194">
        <f>SUMIFS(DATOS!$F:$F,DATOS!$D:$D,$A16,DATOS!$A:$A,'Cuadro 2-Bocas del Toro'!F$6,DATOS!$B:$B,"B100101_06",DATOS!$G:$G,"0311",DATOS!$C:$C,"00")</f>
        <v>52.960073528775048</v>
      </c>
      <c r="G16" s="194">
        <f>SUMIFS(DATOS!$F:$F,DATOS!$D:$D,$A16,DATOS!$A:$A,'Cuadro 2-Bocas del Toro'!G$6,DATOS!$B:$B,"B100101_06",DATOS!$G:$G,"0311",DATOS!$C:$C,"00")</f>
        <v>54.51389535026118</v>
      </c>
      <c r="H16" s="194">
        <f>SUMIFS(DATOS!$F:$F,DATOS!$D:$D,$A16,DATOS!$A:$A,'Cuadro 2-Bocas del Toro'!H$6,DATOS!$B:$B,"B100101_06",DATOS!$G:$G,"0311",DATOS!$C:$C,"00")</f>
        <v>54.598886787190828</v>
      </c>
      <c r="I16" s="195">
        <f>SUMIFS(DATOS!$F:$F,DATOS!$D:$D,$A16,DATOS!$A:$A,'Cuadro 2-Bocas del Toro'!I$6,DATOS!$B:$B,"B100101_06",DATOS!$G:$G,"0311",DATOS!$C:$C,"00")</f>
        <v>58.039073367352032</v>
      </c>
    </row>
    <row r="17" spans="1:16" ht="32.25" customHeight="1">
      <c r="A17" s="56" t="s">
        <v>70</v>
      </c>
      <c r="B17" s="60" t="s">
        <v>95</v>
      </c>
      <c r="C17" s="194">
        <f>SUMIFS(DATOS!$F:$F,DATOS!$D:$D,$A17,DATOS!$A:$A,'Cuadro 2-Bocas del Toro'!C$6,DATOS!$B:$B,"B100101_06",DATOS!$G:$G,"0311",DATOS!$C:$C,"00")</f>
        <v>78.856955422223535</v>
      </c>
      <c r="D17" s="194">
        <f>SUMIFS(DATOS!$F:$F,DATOS!$D:$D,$A17,DATOS!$A:$A,'Cuadro 2-Bocas del Toro'!D$6,DATOS!$B:$B,"B100101_06",DATOS!$G:$G,"0311",DATOS!$C:$C,"00")</f>
        <v>86.232192812018297</v>
      </c>
      <c r="E17" s="194">
        <f>SUMIFS(DATOS!$F:$F,DATOS!$D:$D,$A17,DATOS!$A:$A,'Cuadro 2-Bocas del Toro'!E$6,DATOS!$B:$B,"B100101_06",DATOS!$G:$G,"0311",DATOS!$C:$C,"00")</f>
        <v>80.427847782939438</v>
      </c>
      <c r="F17" s="194">
        <f>SUMIFS(DATOS!$F:$F,DATOS!$D:$D,$A17,DATOS!$A:$A,'Cuadro 2-Bocas del Toro'!F$6,DATOS!$B:$B,"B100101_06",DATOS!$G:$G,"0311",DATOS!$C:$C,"00")</f>
        <v>80.592181717359196</v>
      </c>
      <c r="G17" s="194">
        <f>SUMIFS(DATOS!$F:$F,DATOS!$D:$D,$A17,DATOS!$A:$A,'Cuadro 2-Bocas del Toro'!G$6,DATOS!$B:$B,"B100101_06",DATOS!$G:$G,"0311",DATOS!$C:$C,"00")</f>
        <v>89.427492764305299</v>
      </c>
      <c r="H17" s="194">
        <f>SUMIFS(DATOS!$F:$F,DATOS!$D:$D,$A17,DATOS!$A:$A,'Cuadro 2-Bocas del Toro'!H$6,DATOS!$B:$B,"B100101_06",DATOS!$G:$G,"0311",DATOS!$C:$C,"00")</f>
        <v>73.89470685333616</v>
      </c>
      <c r="I17" s="195">
        <f>SUMIFS(DATOS!$F:$F,DATOS!$D:$D,$A17,DATOS!$A:$A,'Cuadro 2-Bocas del Toro'!I$6,DATOS!$B:$B,"B100101_06",DATOS!$G:$G,"0311",DATOS!$C:$C,"00")</f>
        <v>85.448448590845857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Toro'!C$6,DATOS!$B:$B,"B100101_06",DATOS!$G:$G,"0311",DATOS!$C:$C,"00")</f>
        <v>2.5838168511326485</v>
      </c>
      <c r="D18" s="194">
        <f>SUMIFS(DATOS!$F:$F,DATOS!$D:$D,$A18,DATOS!$A:$A,'Cuadro 2-Bocas del Toro'!D$6,DATOS!$B:$B,"B100101_06",DATOS!$G:$G,"0311",DATOS!$C:$C,"00")</f>
        <v>4.1344650041867519</v>
      </c>
      <c r="E18" s="194">
        <f>SUMIFS(DATOS!$F:$F,DATOS!$D:$D,$A18,DATOS!$A:$A,'Cuadro 2-Bocas del Toro'!E$6,DATOS!$B:$B,"B100101_06",DATOS!$G:$G,"0311",DATOS!$C:$C,"00")</f>
        <v>3.6852982490395028</v>
      </c>
      <c r="F18" s="194">
        <f>SUMIFS(DATOS!$F:$F,DATOS!$D:$D,$A18,DATOS!$A:$A,'Cuadro 2-Bocas del Toro'!F$6,DATOS!$B:$B,"B100101_06",DATOS!$G:$G,"0311",DATOS!$C:$C,"00")</f>
        <v>3.098894545622469</v>
      </c>
      <c r="G18" s="194">
        <f>SUMIFS(DATOS!$F:$F,DATOS!$D:$D,$A18,DATOS!$A:$A,'Cuadro 2-Bocas del Toro'!G$6,DATOS!$B:$B,"B100101_06",DATOS!$G:$G,"0311",DATOS!$C:$C,"00")</f>
        <v>3.5990823668191512</v>
      </c>
      <c r="H18" s="194">
        <f>SUMIFS(DATOS!$F:$F,DATOS!$D:$D,$A18,DATOS!$A:$A,'Cuadro 2-Bocas del Toro'!H$6,DATOS!$B:$B,"B100101_06",DATOS!$G:$G,"0311",DATOS!$C:$C,"00")</f>
        <v>4.1651577608889863</v>
      </c>
      <c r="I18" s="195">
        <f>SUMIFS(DATOS!$F:$F,DATOS!$D:$D,$A18,DATOS!$A:$A,'Cuadro 2-Bocas del Toro'!I$6,DATOS!$B:$B,"B100101_06",DATOS!$G:$G,"0311",DATOS!$C:$C,"00")</f>
        <v>4.3974492357487716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Toro'!C$6,DATOS!$B:$B,"B100101_06",DATOS!$G:$G,"0311",DATOS!$C:$C,"00")</f>
        <v>3.4817412729642192</v>
      </c>
      <c r="D19" s="194">
        <f>SUMIFS(DATOS!$F:$F,DATOS!$D:$D,$A19,DATOS!$A:$A,'Cuadro 2-Bocas del Toro'!D$6,DATOS!$B:$B,"B100101_06",DATOS!$G:$G,"0311",DATOS!$C:$C,"00")</f>
        <v>3.7505243262858197</v>
      </c>
      <c r="E19" s="194">
        <f>SUMIFS(DATOS!$F:$F,DATOS!$D:$D,$A19,DATOS!$A:$A,'Cuadro 2-Bocas del Toro'!E$6,DATOS!$B:$B,"B100101_06",DATOS!$G:$G,"0311",DATOS!$C:$C,"00")</f>
        <v>3.4817089315845249</v>
      </c>
      <c r="F19" s="194">
        <f>SUMIFS(DATOS!$F:$F,DATOS!$D:$D,$A19,DATOS!$A:$A,'Cuadro 2-Bocas del Toro'!F$6,DATOS!$B:$B,"B100101_06",DATOS!$G:$G,"0311",DATOS!$C:$C,"00")</f>
        <v>4.2340191143229573</v>
      </c>
      <c r="G19" s="194">
        <f>SUMIFS(DATOS!$F:$F,DATOS!$D:$D,$A19,DATOS!$A:$A,'Cuadro 2-Bocas del Toro'!G$6,DATOS!$B:$B,"B100101_06",DATOS!$G:$G,"0311",DATOS!$C:$C,"00")</f>
        <v>4.6182616146721696</v>
      </c>
      <c r="H19" s="194">
        <f>SUMIFS(DATOS!$F:$F,DATOS!$D:$D,$A19,DATOS!$A:$A,'Cuadro 2-Bocas del Toro'!H$6,DATOS!$B:$B,"B100101_06",DATOS!$G:$G,"0311",DATOS!$C:$C,"00")</f>
        <v>4.6829889041881723</v>
      </c>
      <c r="I19" s="195">
        <f>SUMIFS(DATOS!$F:$F,DATOS!$D:$D,$A19,DATOS!$A:$A,'Cuadro 2-Bocas del Toro'!I$6,DATOS!$B:$B,"B100101_06",DATOS!$G:$G,"0311",DATOS!$C:$C,"00")</f>
        <v>4.5151152965780676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Toro'!C$6,DATOS!$B:$B,"B100101_06",DATOS!$G:$G,"0311",DATOS!$C:$C,"00")</f>
        <v>1.1613058462140606</v>
      </c>
      <c r="D20" s="194">
        <f>SUMIFS(DATOS!$F:$F,DATOS!$D:$D,$A20,DATOS!$A:$A,'Cuadro 2-Bocas del Toro'!D$6,DATOS!$B:$B,"B100101_06",DATOS!$G:$G,"0311",DATOS!$C:$C,"00")</f>
        <v>1.186420381930841</v>
      </c>
      <c r="E20" s="194">
        <f>SUMIFS(DATOS!$F:$F,DATOS!$D:$D,$A20,DATOS!$A:$A,'Cuadro 2-Bocas del Toro'!E$6,DATOS!$B:$B,"B100101_06",DATOS!$G:$G,"0311",DATOS!$C:$C,"00")</f>
        <v>0.43807625990832899</v>
      </c>
      <c r="F20" s="194">
        <f>SUMIFS(DATOS!$F:$F,DATOS!$D:$D,$A20,DATOS!$A:$A,'Cuadro 2-Bocas del Toro'!F$6,DATOS!$B:$B,"B100101_06",DATOS!$G:$G,"0311",DATOS!$C:$C,"00")</f>
        <v>0.55761845614889194</v>
      </c>
      <c r="G20" s="194">
        <f>SUMIFS(DATOS!$F:$F,DATOS!$D:$D,$A20,DATOS!$A:$A,'Cuadro 2-Bocas del Toro'!G$6,DATOS!$B:$B,"B100101_06",DATOS!$G:$G,"0311",DATOS!$C:$C,"00")</f>
        <v>1.251363750375853</v>
      </c>
      <c r="H20" s="194">
        <f>SUMIFS(DATOS!$F:$F,DATOS!$D:$D,$A20,DATOS!$A:$A,'Cuadro 2-Bocas del Toro'!H$6,DATOS!$B:$B,"B100101_06",DATOS!$G:$G,"0311",DATOS!$C:$C,"00")</f>
        <v>2.0362130477660356</v>
      </c>
      <c r="I20" s="195">
        <f>SUMIFS(DATOS!$F:$F,DATOS!$D:$D,$A20,DATOS!$A:$A,'Cuadro 2-Bocas del Toro'!I$6,DATOS!$B:$B,"B100101_06",DATOS!$G:$G,"0311",DATOS!$C:$C,"00")</f>
        <v>1.8674267386159606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Toro'!C$6,DATOS!$B:$B,"B100101_06",DATOS!$G:$G,"0311",DATOS!$C:$C,"00")</f>
        <v>9.909947137694056</v>
      </c>
      <c r="D21" s="196">
        <f>SUMIFS(DATOS!$F:$F,DATOS!$D:$D,$A21,DATOS!$A:$A,'Cuadro 2-Bocas del Toro'!D$6,DATOS!$B:$B,"B100101_06",DATOS!$G:$G,"0311",DATOS!$C:$C,"00")</f>
        <v>11.534666881615767</v>
      </c>
      <c r="E21" s="196">
        <f>SUMIFS(DATOS!$F:$F,DATOS!$D:$D,$A21,DATOS!$A:$A,'Cuadro 2-Bocas del Toro'!E$6,DATOS!$B:$B,"B100101_06",DATOS!$G:$G,"0311",DATOS!$C:$C,"00")</f>
        <v>9.2684826668532754</v>
      </c>
      <c r="F21" s="196">
        <f>SUMIFS(DATOS!$F:$F,DATOS!$D:$D,$A21,DATOS!$A:$A,'Cuadro 2-Bocas del Toro'!F$6,DATOS!$B:$B,"B100101_06",DATOS!$G:$G,"0311",DATOS!$C:$C,"00")</f>
        <v>9.6955176114697839</v>
      </c>
      <c r="G21" s="196">
        <f>SUMIFS(DATOS!$F:$F,DATOS!$D:$D,$A21,DATOS!$A:$A,'Cuadro 2-Bocas del Toro'!G$6,DATOS!$B:$B,"B100101_06",DATOS!$G:$G,"0311",DATOS!$C:$C,"00")</f>
        <v>8.3024023138079155</v>
      </c>
      <c r="H21" s="197">
        <f>SUMIFS(DATOS!$F:$F,DATOS!$D:$D,$A21,DATOS!$A:$A,'Cuadro 2-Bocas del Toro'!H$6,DATOS!$B:$B,"B100101_06",DATOS!$G:$G,"0311",DATOS!$C:$C,"00")</f>
        <v>11.193870135897816</v>
      </c>
      <c r="I21" s="198">
        <f>SUMIFS(DATOS!$F:$F,DATOS!$D:$D,$A21,DATOS!$A:$A,'Cuadro 2-Bocas del Toro'!I$6,DATOS!$B:$B,"B100101_06",DATOS!$G:$G,"0311",DATOS!$C:$C,"00")</f>
        <v>8.3411310809507135</v>
      </c>
    </row>
    <row r="22" spans="1:16" ht="32.25" customHeight="1">
      <c r="A22" s="25"/>
      <c r="B22" s="22" t="s">
        <v>93</v>
      </c>
      <c r="C22" s="196">
        <f>SUMIFS(DATOS!$F:$F,DATOS!$D:$D,"GOB",DATOS!$A:$A,'Cuadro 2-Bocas del Toro'!C$6,DATOS!$B:$B,"B100103_06",DATOS!$G:$G,"0311",DATOS!$C:$C,"00")</f>
        <v>197.30501610904477</v>
      </c>
      <c r="D22" s="196">
        <f>SUMIFS(DATOS!$F:$F,DATOS!$D:$D,"GOB",DATOS!$A:$A,'Cuadro 2-Bocas del Toro'!D$6,DATOS!$B:$B,"B100103_06",DATOS!$G:$G,"0311",DATOS!$C:$C,"00")</f>
        <v>212.66937157987732</v>
      </c>
      <c r="E22" s="196">
        <f>SUMIFS(DATOS!$F:$F,DATOS!$D:$D,"GOB",DATOS!$A:$A,'Cuadro 2-Bocas del Toro'!E$6,DATOS!$B:$B,"B100103_06",DATOS!$G:$G,"0311",DATOS!$C:$C,"00")</f>
        <v>242.57909119166848</v>
      </c>
      <c r="F22" s="196">
        <f>SUMIFS(DATOS!$F:$F,DATOS!$D:$D,"GOB",DATOS!$A:$A,'Cuadro 2-Bocas del Toro'!F$6,DATOS!$B:$B,"B100103_06",DATOS!$G:$G,"0311",DATOS!$C:$C,"00")</f>
        <v>264.01247969907075</v>
      </c>
      <c r="G22" s="196">
        <f>SUMIFS(DATOS!$F:$F,DATOS!$D:$D,"GOB",DATOS!$A:$A,'Cuadro 2-Bocas del Toro'!G$6,DATOS!$B:$B,"B100103_06",DATOS!$G:$G,"0311",DATOS!$C:$C,"00")</f>
        <v>253.83244967425665</v>
      </c>
      <c r="H22" s="197">
        <f>SUMIFS(DATOS!$F:$F,DATOS!$D:$D,"GOB",DATOS!$A:$A,'Cuadro 2-Bocas del Toro'!H$6,DATOS!$B:$B,"B100103_06",DATOS!$G:$G,"0311",DATOS!$C:$C,"00")</f>
        <v>258.17135794389094</v>
      </c>
      <c r="I22" s="198">
        <f>SUMIFS(DATOS!$F:$F,DATOS!$D:$D,"GOB",DATOS!$A:$A,'Cuadro 2-Bocas del Toro'!I$6,DATOS!$B:$B,"B100103_06",DATOS!$G:$G,"0311",DATOS!$C:$C,"00")</f>
        <v>263.21570114861839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Toro'!C$6,DATOS!$B:$B,"VAB_06",DATOS!$G:$G,"0311",DATOS!$C:$C,"00")</f>
        <v>729.56356266240232</v>
      </c>
      <c r="D23" s="199">
        <f>SUMIFS(DATOS!$F:$F,DATOS!$D:$D,"VAB",DATOS!$A:$A,'Cuadro 2-Bocas del Toro'!D$6,DATOS!$B:$B,"VAB_06",DATOS!$G:$G,"0311",DATOS!$C:$C,"00")</f>
        <v>761.94841312456219</v>
      </c>
      <c r="E23" s="199">
        <f>SUMIFS(DATOS!$F:$F,DATOS!$D:$D,"VAB",DATOS!$A:$A,'Cuadro 2-Bocas del Toro'!E$6,DATOS!$B:$B,"VAB_06",DATOS!$G:$G,"0311",DATOS!$C:$C,"00")</f>
        <v>699.24970014110284</v>
      </c>
      <c r="F23" s="199">
        <f>SUMIFS(DATOS!$F:$F,DATOS!$D:$D,"VAB",DATOS!$A:$A,'Cuadro 2-Bocas del Toro'!F$6,DATOS!$B:$B,"VAB_06",DATOS!$G:$G,"0311",DATOS!$C:$C,"00")</f>
        <v>798.00679473312687</v>
      </c>
      <c r="G23" s="199">
        <f>SUMIFS(DATOS!$F:$F,DATOS!$D:$D,"VAB",DATOS!$A:$A,'Cuadro 2-Bocas del Toro'!G$6,DATOS!$B:$B,"VAB_06",DATOS!$G:$G,"0311",DATOS!$C:$C,"00")</f>
        <v>866.41917257383932</v>
      </c>
      <c r="H23" s="200">
        <f>SUMIFS(DATOS!$F:$F,DATOS!$D:$D,"VAB",DATOS!$A:$A,'Cuadro 2-Bocas del Toro'!H$6,DATOS!$B:$B,"VAB_06",DATOS!$G:$G,"0311",DATOS!$C:$C,"00")</f>
        <v>874.89349452959345</v>
      </c>
      <c r="I23" s="201">
        <f>SUMIFS(DATOS!$F:$F,DATOS!$D:$D,"VAB",DATOS!$A:$A,'Cuadro 2-Bocas del Toro'!I$6,DATOS!$B:$B,"VAB_06",DATOS!$G:$G,"0311",DATOS!$C:$C,"00")</f>
        <v>992.66498474145988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Toro'!C$6,DATOS!$B:$B,"IMP_06",DATOS!$G:$G,"0311",DATOS!$C:$C,"00")</f>
        <v>45.689650026615276</v>
      </c>
      <c r="D24" s="196">
        <f>SUMIFS(DATOS!$F:$F,DATOS!$D:$D,"IMP",DATOS!$A:$A,'Cuadro 2-Bocas del Toro'!D$6,DATOS!$B:$B,"IMP_06",DATOS!$G:$G,"0311",DATOS!$C:$C,"00")</f>
        <v>45.091469858853401</v>
      </c>
      <c r="E24" s="196">
        <f>SUMIFS(DATOS!$F:$F,DATOS!$D:$D,"IMP",DATOS!$A:$A,'Cuadro 2-Bocas del Toro'!E$6,DATOS!$B:$B,"IMP_06",DATOS!$G:$G,"0311",DATOS!$C:$C,"00")</f>
        <v>29.989281129764546</v>
      </c>
      <c r="F24" s="196">
        <f>SUMIFS(DATOS!$F:$F,DATOS!$D:$D,"IMP",DATOS!$A:$A,'Cuadro 2-Bocas del Toro'!F$6,DATOS!$B:$B,"IMP_06",DATOS!$G:$G,"0311",DATOS!$C:$C,"00")</f>
        <v>35.655360061946439</v>
      </c>
      <c r="G24" s="196">
        <f>SUMIFS(DATOS!$F:$F,DATOS!$D:$D,"IMP",DATOS!$A:$A,'Cuadro 2-Bocas del Toro'!G$6,DATOS!$B:$B,"IMP_06",DATOS!$G:$G,"0311",DATOS!$C:$C,"00")</f>
        <v>40.501860425786965</v>
      </c>
      <c r="H24" s="197">
        <f>SUMIFS(DATOS!$F:$F,DATOS!$D:$D,"IMP",DATOS!$A:$A,'Cuadro 2-Bocas del Toro'!H$6,DATOS!$B:$B,"IMP_06",DATOS!$G:$G,"0311",DATOS!$C:$C,"00")</f>
        <v>42.581518609012591</v>
      </c>
      <c r="I24" s="198">
        <f>SUMIFS(DATOS!$F:$F,DATOS!$D:$D,"IMP",DATOS!$A:$A,'Cuadro 2-Bocas del Toro'!I$6,DATOS!$B:$B,"IMP_06",DATOS!$G:$G,"0311",DATOS!$C:$C,"00")</f>
        <v>44.641034662022875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Toro'!C$6,DATOS!$B:$B,"PIB_06",DATOS!$G:$G,"0311",DATOS!$C:$C,"00")</f>
        <v>775.25321268901757</v>
      </c>
      <c r="D25" s="199">
        <f>SUMIFS(DATOS!$F:$F,DATOS!$D:$D,"PIB",DATOS!$A:$A,'Cuadro 2-Bocas del Toro'!D$6,DATOS!$B:$B,"PIB_06",DATOS!$G:$G,"0311",DATOS!$C:$C,"00")</f>
        <v>807.03988298341574</v>
      </c>
      <c r="E25" s="199">
        <f>SUMIFS(DATOS!$F:$F,DATOS!$D:$D,"PIB",DATOS!$A:$A,'Cuadro 2-Bocas del Toro'!E$6,DATOS!$B:$B,"PIB_06",DATOS!$G:$G,"0311",DATOS!$C:$C,"00")</f>
        <v>729.79025367602492</v>
      </c>
      <c r="F25" s="199">
        <f>SUMIFS(DATOS!$F:$F,DATOS!$D:$D,"PIB",DATOS!$A:$A,'Cuadro 2-Bocas del Toro'!F$6,DATOS!$B:$B,"PIB_06",DATOS!$G:$G,"0311",DATOS!$C:$C,"00")</f>
        <v>834.2393636241269</v>
      </c>
      <c r="G25" s="199">
        <f>SUMIFS(DATOS!$F:$F,DATOS!$D:$D,"PIB",DATOS!$A:$A,'Cuadro 2-Bocas del Toro'!G$6,DATOS!$B:$B,"PIB_06",DATOS!$G:$G,"0311",DATOS!$C:$C,"00")</f>
        <v>907.51349457873107</v>
      </c>
      <c r="H25" s="200">
        <f>SUMIFS(DATOS!$F:$F,DATOS!$D:$D,"PIB",DATOS!$A:$A,'Cuadro 2-Bocas del Toro'!H$6,DATOS!$B:$B,"PIB_06",DATOS!$G:$G,"0311",DATOS!$C:$C,"00")</f>
        <v>918.09256048577367</v>
      </c>
      <c r="I25" s="201">
        <f>SUMIFS(DATOS!$F:$F,DATOS!$D:$D,"PIB",DATOS!$A:$A,'Cuadro 2-Bocas del Toro'!I$6,DATOS!$B:$B,"PIB_06",DATOS!$G:$G,"0311",DATOS!$C:$C,"00")</f>
        <v>1038.2645663114329</v>
      </c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0.25" customHeight="1" thickBot="1">
      <c r="A27" s="192" t="s">
        <v>204</v>
      </c>
      <c r="B27" s="192"/>
      <c r="C27" s="192"/>
      <c r="D27" s="192"/>
      <c r="E27" s="192"/>
      <c r="F27" s="192"/>
      <c r="G27" s="192"/>
      <c r="H27" s="192"/>
      <c r="I27" s="192"/>
      <c r="J27" s="204"/>
      <c r="K27" s="75"/>
    </row>
    <row r="28" spans="1:16" ht="32.1" customHeight="1" thickTop="1">
      <c r="A28" s="217" t="s">
        <v>29</v>
      </c>
      <c r="B28" s="217" t="s">
        <v>30</v>
      </c>
      <c r="C28" s="217" t="s">
        <v>115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10.062328458923918</v>
      </c>
      <c r="D30" s="19">
        <f t="shared" ref="D30:I30" si="0">IFERROR(D7/D$25*100,"")</f>
        <v>9.6799742316360007</v>
      </c>
      <c r="E30" s="19">
        <f t="shared" si="0"/>
        <v>12.163478937790163</v>
      </c>
      <c r="F30" s="19">
        <f t="shared" si="0"/>
        <v>11.033516031910869</v>
      </c>
      <c r="G30" s="19">
        <f t="shared" si="0"/>
        <v>14.403696922735726</v>
      </c>
      <c r="H30" s="19">
        <f t="shared" si="0"/>
        <v>14.116623081852344</v>
      </c>
      <c r="I30" s="143">
        <f t="shared" si="0"/>
        <v>16.706196191858595</v>
      </c>
      <c r="J30" s="50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46" si="1">IFERROR(C8/C$25*100,"")</f>
        <v>1.1369983014572971</v>
      </c>
      <c r="D31" s="19">
        <f t="shared" si="1"/>
        <v>1.2128341895089347</v>
      </c>
      <c r="E31" s="19">
        <f t="shared" si="1"/>
        <v>0.69368528772167881</v>
      </c>
      <c r="F31" s="19">
        <f t="shared" si="1"/>
        <v>0.87997166993081022</v>
      </c>
      <c r="G31" s="19">
        <f t="shared" si="1"/>
        <v>0.96798751713385867</v>
      </c>
      <c r="H31" s="19">
        <f t="shared" si="1"/>
        <v>1.0059930519587139</v>
      </c>
      <c r="I31" s="106">
        <f t="shared" si="1"/>
        <v>1.7029061873775979</v>
      </c>
      <c r="J31" s="50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si="1"/>
        <v>5.8106417707102738</v>
      </c>
      <c r="D32" s="19">
        <f t="shared" si="1"/>
        <v>5.4477565664395069</v>
      </c>
      <c r="E32" s="19">
        <f t="shared" si="1"/>
        <v>5.0645415043984654</v>
      </c>
      <c r="F32" s="19">
        <f t="shared" si="1"/>
        <v>5.7611747031461515</v>
      </c>
      <c r="G32" s="19">
        <f t="shared" si="1"/>
        <v>5.344142052233698</v>
      </c>
      <c r="H32" s="19">
        <f t="shared" si="1"/>
        <v>4.4332204953714749</v>
      </c>
      <c r="I32" s="106">
        <f t="shared" si="1"/>
        <v>3.9740135160841552</v>
      </c>
      <c r="J32" s="50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si="1"/>
        <v>1.9618782531052172</v>
      </c>
      <c r="D33" s="19">
        <f t="shared" si="1"/>
        <v>2.0059050403533183</v>
      </c>
      <c r="E33" s="19">
        <f t="shared" si="1"/>
        <v>2.8721421418503126</v>
      </c>
      <c r="F33" s="19">
        <f t="shared" si="1"/>
        <v>4.1259206502666386</v>
      </c>
      <c r="G33" s="19">
        <f t="shared" si="1"/>
        <v>4.9487660267656652</v>
      </c>
      <c r="H33" s="19">
        <f t="shared" si="1"/>
        <v>5.7628172525408887</v>
      </c>
      <c r="I33" s="106">
        <f t="shared" si="1"/>
        <v>5.8906876187742974</v>
      </c>
      <c r="J33" s="50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94</v>
      </c>
      <c r="C34" s="19">
        <f t="shared" si="1"/>
        <v>15.428823353207871</v>
      </c>
      <c r="D34" s="19">
        <f t="shared" si="1"/>
        <v>15.055086269992918</v>
      </c>
      <c r="E34" s="19">
        <f t="shared" si="1"/>
        <v>8.6903940177102879</v>
      </c>
      <c r="F34" s="19">
        <f t="shared" si="1"/>
        <v>10.583589355386735</v>
      </c>
      <c r="G34" s="19">
        <f t="shared" si="1"/>
        <v>10.843147944591172</v>
      </c>
      <c r="H34" s="19">
        <f>IFERROR(H11/H$25*100,"")</f>
        <v>11.265259410120711</v>
      </c>
      <c r="I34" s="106">
        <f t="shared" si="1"/>
        <v>13.321793868294742</v>
      </c>
      <c r="J34" s="50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si="1"/>
        <v>2.2893899693339437</v>
      </c>
      <c r="D35" s="19">
        <f t="shared" si="1"/>
        <v>2.1997450536829284</v>
      </c>
      <c r="E35" s="19">
        <f t="shared" si="1"/>
        <v>1.7257316710255333</v>
      </c>
      <c r="F35" s="19">
        <f t="shared" si="1"/>
        <v>2.1797288363466985</v>
      </c>
      <c r="G35" s="19">
        <f t="shared" si="1"/>
        <v>2.3077098432939933</v>
      </c>
      <c r="H35" s="19">
        <f t="shared" si="1"/>
        <v>2.7668215043054718</v>
      </c>
      <c r="I35" s="106">
        <f t="shared" si="1"/>
        <v>2.3643797316818782</v>
      </c>
      <c r="J35" s="50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si="1"/>
        <v>5.3798269482568974</v>
      </c>
      <c r="D36" s="19">
        <f t="shared" si="1"/>
        <v>5.5421748992920072</v>
      </c>
      <c r="E36" s="19">
        <f t="shared" si="1"/>
        <v>4.1528986833746995</v>
      </c>
      <c r="F36" s="19">
        <f t="shared" si="1"/>
        <v>4.6002673193592001</v>
      </c>
      <c r="G36" s="19">
        <f t="shared" si="1"/>
        <v>4.4763778898904638</v>
      </c>
      <c r="H36" s="19">
        <f t="shared" si="1"/>
        <v>4.7098091225597312</v>
      </c>
      <c r="I36" s="106">
        <f t="shared" si="1"/>
        <v>4.458433869327445</v>
      </c>
      <c r="J36" s="50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si="1"/>
        <v>1.7295492727586954</v>
      </c>
      <c r="D37" s="19">
        <f t="shared" si="1"/>
        <v>1.5070530408474392</v>
      </c>
      <c r="E37" s="19">
        <f t="shared" si="1"/>
        <v>0.75352756039741797</v>
      </c>
      <c r="F37" s="19">
        <f t="shared" si="1"/>
        <v>0.63115759095482971</v>
      </c>
      <c r="G37" s="19">
        <f t="shared" si="1"/>
        <v>0.77739250170504204</v>
      </c>
      <c r="H37" s="19">
        <f t="shared" si="1"/>
        <v>0.73018645418470274</v>
      </c>
      <c r="I37" s="106">
        <f t="shared" si="1"/>
        <v>0.68386003019044672</v>
      </c>
      <c r="J37" s="50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si="1"/>
        <v>5.864088368743726</v>
      </c>
      <c r="D38" s="19">
        <f t="shared" si="1"/>
        <v>5.5698056213769398</v>
      </c>
      <c r="E38" s="19">
        <f t="shared" si="1"/>
        <v>6.1698756196707683</v>
      </c>
      <c r="F38" s="19">
        <f t="shared" si="1"/>
        <v>5.6481844148996672</v>
      </c>
      <c r="G38" s="19">
        <f t="shared" si="1"/>
        <v>5.0718223416052224</v>
      </c>
      <c r="H38" s="19">
        <f t="shared" si="1"/>
        <v>5.3149176639026887</v>
      </c>
      <c r="I38" s="106">
        <f t="shared" si="1"/>
        <v>4.9537839514083624</v>
      </c>
      <c r="J38" s="50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si="1"/>
        <v>6.6103188532651416</v>
      </c>
      <c r="D39" s="19">
        <f t="shared" si="1"/>
        <v>6.6023301704170034</v>
      </c>
      <c r="E39" s="19">
        <f t="shared" si="1"/>
        <v>6.8130162797680764</v>
      </c>
      <c r="F39" s="19">
        <f t="shared" si="1"/>
        <v>6.3483067136396381</v>
      </c>
      <c r="G39" s="19">
        <f t="shared" si="1"/>
        <v>6.0069514862218769</v>
      </c>
      <c r="H39" s="19">
        <f t="shared" si="1"/>
        <v>5.9469915275538128</v>
      </c>
      <c r="I39" s="106">
        <f t="shared" si="1"/>
        <v>5.5900081010703495</v>
      </c>
      <c r="J39" s="50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95</v>
      </c>
      <c r="C40" s="19">
        <f t="shared" si="1"/>
        <v>10.171767640756098</v>
      </c>
      <c r="D40" s="19">
        <f t="shared" si="1"/>
        <v>10.684997684778649</v>
      </c>
      <c r="E40" s="19">
        <f t="shared" si="1"/>
        <v>11.020679897794812</v>
      </c>
      <c r="F40" s="19">
        <f t="shared" si="1"/>
        <v>9.6605584957353603</v>
      </c>
      <c r="G40" s="19">
        <f t="shared" si="1"/>
        <v>9.8541226437429081</v>
      </c>
      <c r="H40" s="19">
        <f t="shared" si="1"/>
        <v>8.0487207971969177</v>
      </c>
      <c r="I40" s="106">
        <f t="shared" si="1"/>
        <v>8.2299301510801204</v>
      </c>
      <c r="J40" s="50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si="1"/>
        <v>0.33328682923744452</v>
      </c>
      <c r="D41" s="19">
        <f t="shared" si="1"/>
        <v>0.51229996080276907</v>
      </c>
      <c r="E41" s="19">
        <f t="shared" si="1"/>
        <v>0.50498046945355812</v>
      </c>
      <c r="F41" s="19">
        <f t="shared" si="1"/>
        <v>0.37146347688032383</v>
      </c>
      <c r="G41" s="19">
        <f t="shared" si="1"/>
        <v>0.39658720099692291</v>
      </c>
      <c r="H41" s="19">
        <f t="shared" si="1"/>
        <v>0.45367514563947148</v>
      </c>
      <c r="I41" s="106">
        <f t="shared" si="1"/>
        <v>0.42353840999999354</v>
      </c>
      <c r="J41" s="50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si="1"/>
        <v>0.4491102024443816</v>
      </c>
      <c r="D42" s="19">
        <f t="shared" si="1"/>
        <v>0.46472601978741251</v>
      </c>
      <c r="E42" s="19">
        <f t="shared" si="1"/>
        <v>0.47708350639746372</v>
      </c>
      <c r="F42" s="19">
        <f t="shared" si="1"/>
        <v>0.50753048812386514</v>
      </c>
      <c r="G42" s="19">
        <f t="shared" si="1"/>
        <v>0.50889178422806514</v>
      </c>
      <c r="H42" s="19">
        <f t="shared" si="1"/>
        <v>0.5100780798953809</v>
      </c>
      <c r="I42" s="106">
        <f t="shared" si="1"/>
        <v>0.43487136545732175</v>
      </c>
      <c r="J42" s="50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si="1"/>
        <v>0.14979697306716006</v>
      </c>
      <c r="D43" s="19">
        <f t="shared" si="1"/>
        <v>0.14700889100362111</v>
      </c>
      <c r="E43" s="19">
        <f t="shared" si="1"/>
        <v>6.002769394380042E-2</v>
      </c>
      <c r="F43" s="19">
        <f t="shared" si="1"/>
        <v>6.6841542183585012E-2</v>
      </c>
      <c r="G43" s="19">
        <f t="shared" si="1"/>
        <v>0.13788927193382813</v>
      </c>
      <c r="H43" s="19">
        <f t="shared" si="1"/>
        <v>0.22178733772645443</v>
      </c>
      <c r="I43" s="106">
        <f t="shared" si="1"/>
        <v>0.17986039389268885</v>
      </c>
      <c r="J43" s="50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si="1"/>
        <v>1.2782852073996238</v>
      </c>
      <c r="D44" s="132">
        <f t="shared" si="1"/>
        <v>1.4292561154443959</v>
      </c>
      <c r="E44" s="132">
        <f t="shared" si="1"/>
        <v>1.2700200667475374</v>
      </c>
      <c r="F44" s="132">
        <f t="shared" si="1"/>
        <v>1.1621985288910648</v>
      </c>
      <c r="G44" s="132">
        <f t="shared" si="1"/>
        <v>0.91485166484074165</v>
      </c>
      <c r="H44" s="132">
        <f t="shared" si="1"/>
        <v>1.2192528964590463</v>
      </c>
      <c r="I44" s="117">
        <f t="shared" si="1"/>
        <v>0.80337241119415681</v>
      </c>
      <c r="J44" s="50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93</v>
      </c>
      <c r="C45" s="132">
        <f t="shared" si="1"/>
        <v>25.450396448494438</v>
      </c>
      <c r="D45" s="132">
        <f t="shared" si="1"/>
        <v>26.351779641136712</v>
      </c>
      <c r="E45" s="132">
        <f t="shared" si="1"/>
        <v>33.239563007285156</v>
      </c>
      <c r="F45" s="132">
        <f t="shared" si="1"/>
        <v>31.647089697630676</v>
      </c>
      <c r="G45" s="132">
        <f t="shared" si="1"/>
        <v>27.970101953369408</v>
      </c>
      <c r="H45" s="132">
        <f t="shared" si="1"/>
        <v>28.120406270070355</v>
      </c>
      <c r="I45" s="117">
        <f t="shared" si="1"/>
        <v>25.351505742291263</v>
      </c>
      <c r="J45" s="50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si="1"/>
        <v>94.106486851162131</v>
      </c>
      <c r="D46" s="144">
        <f t="shared" si="1"/>
        <v>94.412733396500542</v>
      </c>
      <c r="E46" s="144">
        <f t="shared" si="1"/>
        <v>95.815160125654415</v>
      </c>
      <c r="F46" s="144">
        <f t="shared" si="1"/>
        <v>95.656813802983663</v>
      </c>
      <c r="G46" s="144">
        <f t="shared" si="1"/>
        <v>95.471767389644398</v>
      </c>
      <c r="H46" s="144">
        <f t="shared" si="1"/>
        <v>95.294693823319605</v>
      </c>
      <c r="I46" s="129">
        <f t="shared" si="1"/>
        <v>95.608096139506017</v>
      </c>
      <c r="J46" s="93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8" si="2">IFERROR(C24/C$25*100,"")</f>
        <v>5.8935131488378705</v>
      </c>
      <c r="D47" s="132">
        <f t="shared" si="2"/>
        <v>5.5872666034994465</v>
      </c>
      <c r="E47" s="132">
        <f t="shared" si="2"/>
        <v>4.1093014025201899</v>
      </c>
      <c r="F47" s="132">
        <f t="shared" si="2"/>
        <v>4.2739963632321771</v>
      </c>
      <c r="G47" s="132">
        <f t="shared" si="2"/>
        <v>4.4629485586424229</v>
      </c>
      <c r="H47" s="132">
        <f t="shared" si="2"/>
        <v>4.6380420059696599</v>
      </c>
      <c r="I47" s="117">
        <f t="shared" si="2"/>
        <v>4.2995818320773322</v>
      </c>
      <c r="J47" s="50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si="2"/>
        <v>100</v>
      </c>
      <c r="D48" s="144">
        <f t="shared" si="2"/>
        <v>100</v>
      </c>
      <c r="E48" s="144">
        <f t="shared" si="2"/>
        <v>100</v>
      </c>
      <c r="F48" s="144">
        <f t="shared" si="2"/>
        <v>100</v>
      </c>
      <c r="G48" s="144">
        <f t="shared" si="2"/>
        <v>100</v>
      </c>
      <c r="H48" s="144">
        <f t="shared" si="2"/>
        <v>100</v>
      </c>
      <c r="I48" s="129">
        <f t="shared" si="2"/>
        <v>100</v>
      </c>
      <c r="K48" s="50"/>
    </row>
    <row r="49" spans="1:11">
      <c r="A49" s="7"/>
      <c r="B49" s="32"/>
      <c r="C49" s="15"/>
      <c r="D49" s="15"/>
      <c r="E49" s="15"/>
      <c r="F49" s="15"/>
      <c r="G49" s="15"/>
    </row>
    <row r="50" spans="1:11" s="74" customFormat="1" ht="20.25" customHeight="1" thickBot="1">
      <c r="A50" s="190" t="s">
        <v>205</v>
      </c>
      <c r="B50" s="190"/>
      <c r="C50" s="190"/>
      <c r="D50" s="190"/>
      <c r="E50" s="190"/>
      <c r="F50" s="190"/>
      <c r="G50" s="190"/>
      <c r="H50" s="190"/>
      <c r="I50" s="190"/>
      <c r="J50" s="130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0.14450736403234998</v>
      </c>
      <c r="E53" s="20">
        <f t="shared" ref="E53:I53" si="3">IFERROR(E7/D7*100-100,"")</f>
        <v>13.628341474992567</v>
      </c>
      <c r="F53" s="20">
        <f t="shared" si="3"/>
        <v>3.6928334819680515</v>
      </c>
      <c r="G53" s="20">
        <f t="shared" si="3"/>
        <v>42.0111543346232</v>
      </c>
      <c r="H53" s="19">
        <f t="shared" si="3"/>
        <v>-0.85057016405862385</v>
      </c>
      <c r="I53" s="143">
        <f t="shared" si="3"/>
        <v>33.834574578003981</v>
      </c>
    </row>
    <row r="54" spans="1:11" ht="32.25" customHeight="1">
      <c r="A54" s="56" t="s">
        <v>1</v>
      </c>
      <c r="B54" s="57" t="s">
        <v>31</v>
      </c>
      <c r="D54" s="20">
        <f t="shared" ref="D54:I69" si="4">IFERROR(D8/C8*100-100,"")</f>
        <v>11.043473464525945</v>
      </c>
      <c r="E54" s="20">
        <f t="shared" si="4"/>
        <v>-48.279333347166776</v>
      </c>
      <c r="F54" s="20">
        <f t="shared" si="4"/>
        <v>45.010291640038787</v>
      </c>
      <c r="G54" s="20">
        <f t="shared" si="4"/>
        <v>19.663990029553858</v>
      </c>
      <c r="H54" s="19">
        <f t="shared" si="4"/>
        <v>5.1377311901524649</v>
      </c>
      <c r="I54" s="106">
        <f>IFERROR(I8/H8*100-100,"")</f>
        <v>91.433221028744128</v>
      </c>
    </row>
    <row r="55" spans="1:11" ht="32.25" customHeight="1">
      <c r="A55" s="56" t="s">
        <v>2</v>
      </c>
      <c r="B55" s="57" t="s">
        <v>3</v>
      </c>
      <c r="D55" s="20">
        <f t="shared" si="4"/>
        <v>-2.4010795305373023</v>
      </c>
      <c r="E55" s="20">
        <f t="shared" si="4"/>
        <v>-15.933008966566689</v>
      </c>
      <c r="F55" s="20">
        <f t="shared" si="4"/>
        <v>30.035978381465668</v>
      </c>
      <c r="G55" s="20">
        <f t="shared" si="4"/>
        <v>0.90887443133314605</v>
      </c>
      <c r="H55" s="19">
        <f t="shared" si="4"/>
        <v>-16.078214472387103</v>
      </c>
      <c r="I55" s="106">
        <f t="shared" si="4"/>
        <v>1.3751645192010784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4"/>
        <v>6.436292760991023</v>
      </c>
      <c r="E56" s="20">
        <f t="shared" si="4"/>
        <v>29.47878669438262</v>
      </c>
      <c r="F56" s="20">
        <f t="shared" si="4"/>
        <v>64.213009809825024</v>
      </c>
      <c r="G56" s="20">
        <f t="shared" si="4"/>
        <v>30.478352177585464</v>
      </c>
      <c r="H56" s="19">
        <f t="shared" si="4"/>
        <v>17.807055975830536</v>
      </c>
      <c r="I56" s="106">
        <f t="shared" si="4"/>
        <v>15.598636006835306</v>
      </c>
    </row>
    <row r="57" spans="1:11" ht="32.25" customHeight="1">
      <c r="A57" s="56" t="s">
        <v>4</v>
      </c>
      <c r="B57" s="57" t="s">
        <v>94</v>
      </c>
      <c r="D57" s="20">
        <f t="shared" si="4"/>
        <v>1.5785162085202984</v>
      </c>
      <c r="E57" s="20">
        <f t="shared" si="4"/>
        <v>-47.801348861762449</v>
      </c>
      <c r="F57" s="20">
        <f t="shared" si="4"/>
        <v>39.215032263200754</v>
      </c>
      <c r="G57" s="20">
        <f t="shared" si="4"/>
        <v>11.451217210926927</v>
      </c>
      <c r="H57" s="19">
        <f t="shared" si="4"/>
        <v>5.1039868252613587</v>
      </c>
      <c r="I57" s="106">
        <f t="shared" si="4"/>
        <v>33.734382602826429</v>
      </c>
    </row>
    <row r="58" spans="1:11" ht="32.25" customHeight="1">
      <c r="A58" s="56" t="s">
        <v>5</v>
      </c>
      <c r="B58" s="57" t="s">
        <v>54</v>
      </c>
      <c r="D58" s="20">
        <f t="shared" si="4"/>
        <v>2.3949079306831322E-2</v>
      </c>
      <c r="E58" s="20">
        <f t="shared" si="4"/>
        <v>-29.05790964142092</v>
      </c>
      <c r="F58" s="20">
        <f t="shared" si="4"/>
        <v>44.384914269491532</v>
      </c>
      <c r="G58" s="20">
        <f t="shared" si="4"/>
        <v>15.170471891187916</v>
      </c>
      <c r="H58" s="19">
        <f t="shared" si="4"/>
        <v>21.292323766518479</v>
      </c>
      <c r="I58" s="106">
        <f t="shared" si="4"/>
        <v>-3.3598378766049706</v>
      </c>
    </row>
    <row r="59" spans="1:11" ht="32.25" customHeight="1">
      <c r="A59" s="56" t="s">
        <v>6</v>
      </c>
      <c r="B59" s="57" t="s">
        <v>55</v>
      </c>
      <c r="D59" s="20">
        <f t="shared" si="4"/>
        <v>7.2416145999925448</v>
      </c>
      <c r="E59" s="20">
        <f t="shared" si="4"/>
        <v>-32.239879390400432</v>
      </c>
      <c r="F59" s="20">
        <f t="shared" si="4"/>
        <v>26.626426892752562</v>
      </c>
      <c r="G59" s="20">
        <f t="shared" si="4"/>
        <v>5.8537105890024179</v>
      </c>
      <c r="H59" s="19">
        <f t="shared" si="4"/>
        <v>6.4412438935921301</v>
      </c>
      <c r="I59" s="106">
        <f t="shared" si="4"/>
        <v>7.0534301366612198</v>
      </c>
    </row>
    <row r="60" spans="1:11" ht="32.25" customHeight="1">
      <c r="A60" s="56" t="s">
        <v>7</v>
      </c>
      <c r="B60" s="57" t="s">
        <v>32</v>
      </c>
      <c r="D60" s="20">
        <f t="shared" si="4"/>
        <v>-9.291701303033733</v>
      </c>
      <c r="E60" s="20">
        <f t="shared" si="4"/>
        <v>-54.7859234544609</v>
      </c>
      <c r="F60" s="20">
        <f t="shared" si="4"/>
        <v>-4.2516524269404385</v>
      </c>
      <c r="G60" s="20">
        <f t="shared" si="4"/>
        <v>33.98770578476865</v>
      </c>
      <c r="H60" s="19">
        <f t="shared" si="4"/>
        <v>-4.9774236598845789</v>
      </c>
      <c r="I60" s="106">
        <f t="shared" si="4"/>
        <v>5.9144008113081412</v>
      </c>
    </row>
    <row r="61" spans="1:11" ht="32.25" customHeight="1">
      <c r="A61" s="56" t="s">
        <v>8</v>
      </c>
      <c r="B61" s="57" t="s">
        <v>56</v>
      </c>
      <c r="D61" s="20">
        <f t="shared" si="4"/>
        <v>-1.1239847523867894</v>
      </c>
      <c r="E61" s="20">
        <f t="shared" si="4"/>
        <v>0.17040539527893372</v>
      </c>
      <c r="F61" s="20">
        <f t="shared" si="4"/>
        <v>4.6465893119595876</v>
      </c>
      <c r="G61" s="20">
        <f t="shared" si="4"/>
        <v>-2.3173174199313706</v>
      </c>
      <c r="H61" s="19">
        <f t="shared" si="4"/>
        <v>6.0146503088760284</v>
      </c>
      <c r="I61" s="106">
        <f t="shared" si="4"/>
        <v>5.4052118203976107</v>
      </c>
    </row>
    <row r="62" spans="1:11" ht="32.25" customHeight="1">
      <c r="A62" s="56" t="s">
        <v>9</v>
      </c>
      <c r="B62" s="57" t="s">
        <v>57</v>
      </c>
      <c r="D62" s="20">
        <f t="shared" si="4"/>
        <v>3.97435939057236</v>
      </c>
      <c r="E62" s="20">
        <f t="shared" si="4"/>
        <v>-6.686334526122323</v>
      </c>
      <c r="F62" s="20">
        <f t="shared" si="4"/>
        <v>6.5150789548483488</v>
      </c>
      <c r="G62" s="20">
        <f t="shared" si="4"/>
        <v>2.933949516973172</v>
      </c>
      <c r="H62" s="19">
        <f t="shared" si="4"/>
        <v>0.15590784034706928</v>
      </c>
      <c r="I62" s="106">
        <f t="shared" si="4"/>
        <v>6.3008364869598239</v>
      </c>
    </row>
    <row r="63" spans="1:11" ht="32.25" customHeight="1">
      <c r="A63" s="56" t="s">
        <v>70</v>
      </c>
      <c r="B63" s="57" t="s">
        <v>95</v>
      </c>
      <c r="D63" s="20">
        <f t="shared" si="4"/>
        <v>9.3526783405541778</v>
      </c>
      <c r="E63" s="20">
        <f t="shared" si="4"/>
        <v>-6.7310650927456095</v>
      </c>
      <c r="F63" s="20">
        <f t="shared" si="4"/>
        <v>0.20432466981246478</v>
      </c>
      <c r="G63" s="20">
        <f t="shared" si="4"/>
        <v>10.96298779692053</v>
      </c>
      <c r="H63" s="19">
        <f t="shared" si="4"/>
        <v>-17.369139434454766</v>
      </c>
      <c r="I63" s="106">
        <f t="shared" si="4"/>
        <v>15.635411830567492</v>
      </c>
    </row>
    <row r="64" spans="1:11" ht="32.25" customHeight="1">
      <c r="A64" s="56" t="s">
        <v>10</v>
      </c>
      <c r="B64" s="57" t="s">
        <v>58</v>
      </c>
      <c r="D64" s="20">
        <f t="shared" si="4"/>
        <v>60.013857111209603</v>
      </c>
      <c r="E64" s="20">
        <f t="shared" si="4"/>
        <v>-10.863963165546252</v>
      </c>
      <c r="F64" s="20">
        <f t="shared" si="4"/>
        <v>-15.911974114167492</v>
      </c>
      <c r="G64" s="20">
        <f t="shared" si="4"/>
        <v>16.140846803039906</v>
      </c>
      <c r="H64" s="19">
        <f t="shared" si="4"/>
        <v>15.728325622348265</v>
      </c>
      <c r="I64" s="106">
        <f t="shared" si="4"/>
        <v>5.5770150422875417</v>
      </c>
    </row>
    <row r="65" spans="1:9" ht="32.25" customHeight="1">
      <c r="A65" s="56" t="s">
        <v>59</v>
      </c>
      <c r="B65" s="57" t="s">
        <v>60</v>
      </c>
      <c r="D65" s="20">
        <f t="shared" si="4"/>
        <v>7.7197882395428223</v>
      </c>
      <c r="E65" s="20">
        <f t="shared" si="4"/>
        <v>-7.1674083758711475</v>
      </c>
      <c r="F65" s="20">
        <f t="shared" si="4"/>
        <v>21.607497855831852</v>
      </c>
      <c r="G65" s="20">
        <f t="shared" si="4"/>
        <v>9.0751243670437418</v>
      </c>
      <c r="H65" s="19">
        <f t="shared" si="4"/>
        <v>1.4015509496119591</v>
      </c>
      <c r="I65" s="106">
        <f t="shared" si="4"/>
        <v>-3.5847534778476415</v>
      </c>
    </row>
    <row r="66" spans="1:9" ht="32.25" customHeight="1">
      <c r="A66" s="56" t="s">
        <v>66</v>
      </c>
      <c r="B66" s="57" t="s">
        <v>67</v>
      </c>
      <c r="D66" s="20">
        <f t="shared" si="4"/>
        <v>2.1626116667418387</v>
      </c>
      <c r="E66" s="20">
        <f t="shared" si="4"/>
        <v>-63.075797872303795</v>
      </c>
      <c r="F66" s="20">
        <f t="shared" si="4"/>
        <v>27.287987773082719</v>
      </c>
      <c r="G66" s="20">
        <f t="shared" si="4"/>
        <v>124.41218302174013</v>
      </c>
      <c r="H66" s="19">
        <f t="shared" si="4"/>
        <v>62.719516779549451</v>
      </c>
      <c r="I66" s="106">
        <f t="shared" si="4"/>
        <v>-8.2892263820454986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4"/>
        <v>16.394837644913679</v>
      </c>
      <c r="E67" s="23">
        <f t="shared" si="4"/>
        <v>-19.646724417975094</v>
      </c>
      <c r="F67" s="24">
        <f t="shared" si="4"/>
        <v>4.6073878537174835</v>
      </c>
      <c r="G67" s="24">
        <f t="shared" si="4"/>
        <v>-14.368653160031556</v>
      </c>
      <c r="H67" s="132">
        <f t="shared" si="4"/>
        <v>34.826881579576479</v>
      </c>
      <c r="I67" s="131">
        <f t="shared" si="4"/>
        <v>-25.484832504877858</v>
      </c>
    </row>
    <row r="68" spans="1:9" ht="32.25" customHeight="1">
      <c r="A68" s="25"/>
      <c r="B68" s="78" t="s">
        <v>93</v>
      </c>
      <c r="C68" s="82"/>
      <c r="D68" s="24">
        <f t="shared" si="4"/>
        <v>7.7871083938084524</v>
      </c>
      <c r="E68" s="24">
        <f t="shared" si="4"/>
        <v>14.063952599096879</v>
      </c>
      <c r="F68" s="24">
        <f t="shared" si="4"/>
        <v>8.8356289909863506</v>
      </c>
      <c r="G68" s="24">
        <f t="shared" si="4"/>
        <v>-3.8558897050690888</v>
      </c>
      <c r="H68" s="24">
        <f t="shared" si="4"/>
        <v>1.7093591757879665</v>
      </c>
      <c r="I68" s="117">
        <f t="shared" si="4"/>
        <v>1.9538740644590575</v>
      </c>
    </row>
    <row r="69" spans="1:9" ht="32.25" customHeight="1">
      <c r="A69" s="34"/>
      <c r="B69" s="79" t="s">
        <v>33</v>
      </c>
      <c r="C69" s="82"/>
      <c r="D69" s="33">
        <f t="shared" si="4"/>
        <v>4.4389347439416582</v>
      </c>
      <c r="E69" s="33">
        <f t="shared" si="4"/>
        <v>-8.2287346365546483</v>
      </c>
      <c r="F69" s="33">
        <f t="shared" si="4"/>
        <v>14.123294521555849</v>
      </c>
      <c r="G69" s="88">
        <f t="shared" si="4"/>
        <v>8.5729066835315848</v>
      </c>
      <c r="H69" s="88">
        <f t="shared" si="4"/>
        <v>0.97808569154578606</v>
      </c>
      <c r="I69" s="129">
        <f t="shared" si="4"/>
        <v>13.461237390408186</v>
      </c>
    </row>
    <row r="70" spans="1:9" ht="32.25" customHeight="1">
      <c r="A70" s="21" t="s">
        <v>25</v>
      </c>
      <c r="B70" s="80" t="s">
        <v>34</v>
      </c>
      <c r="C70" s="82"/>
      <c r="D70" s="24">
        <f t="shared" ref="D70:I71" si="5">IFERROR(D24/C24*100-100,"")</f>
        <v>-1.3092246655717901</v>
      </c>
      <c r="E70" s="24">
        <f t="shared" si="5"/>
        <v>-33.492340738419387</v>
      </c>
      <c r="F70" s="24">
        <f t="shared" si="5"/>
        <v>18.893680404223744</v>
      </c>
      <c r="G70" s="24">
        <f t="shared" si="5"/>
        <v>13.592627743543687</v>
      </c>
      <c r="H70" s="24">
        <f t="shared" si="5"/>
        <v>5.1347226062275837</v>
      </c>
      <c r="I70" s="117">
        <f t="shared" si="5"/>
        <v>4.8366430326756387</v>
      </c>
    </row>
    <row r="71" spans="1:9" ht="32.25" customHeight="1">
      <c r="A71" s="30"/>
      <c r="B71" s="81" t="s">
        <v>35</v>
      </c>
      <c r="C71" s="82"/>
      <c r="D71" s="31">
        <f t="shared" si="5"/>
        <v>4.100166213325835</v>
      </c>
      <c r="E71" s="31">
        <f t="shared" si="5"/>
        <v>-9.5719717124535464</v>
      </c>
      <c r="F71" s="31">
        <f t="shared" si="5"/>
        <v>14.312209490601106</v>
      </c>
      <c r="G71" s="31">
        <f t="shared" si="5"/>
        <v>8.7833461413621876</v>
      </c>
      <c r="H71" s="31">
        <f t="shared" si="5"/>
        <v>1.1657199557074875</v>
      </c>
      <c r="I71" s="129">
        <f t="shared" si="5"/>
        <v>13.089312668221027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>
      <c r="A86" s="18"/>
      <c r="B86" s="101"/>
      <c r="C86" s="10"/>
      <c r="D86" s="101"/>
      <c r="E86" s="101"/>
    </row>
    <row r="87" spans="1:8">
      <c r="A87" s="18"/>
      <c r="B87" s="101"/>
      <c r="C87" s="101"/>
      <c r="D87" s="101"/>
      <c r="E87" s="101"/>
    </row>
    <row r="88" spans="1:8">
      <c r="A88" s="61"/>
      <c r="B88" s="101"/>
      <c r="C88" s="101"/>
      <c r="D88" s="101"/>
      <c r="E88" s="101"/>
    </row>
    <row r="89" spans="1:8">
      <c r="A89" s="64"/>
      <c r="B89" s="45"/>
      <c r="C89" s="45"/>
      <c r="D89" s="101"/>
      <c r="E89" s="101"/>
    </row>
    <row r="90" spans="1:8">
      <c r="A90" s="64"/>
      <c r="B90" s="45"/>
      <c r="C90" s="45"/>
      <c r="D90" s="101"/>
      <c r="E90" s="101"/>
    </row>
    <row r="91" spans="1:8">
      <c r="A91" s="64"/>
      <c r="B91" s="45"/>
      <c r="C91" s="45"/>
      <c r="D91" s="101"/>
      <c r="E91" s="101"/>
    </row>
    <row r="92" spans="1:8">
      <c r="A92" s="64"/>
      <c r="B92" s="45"/>
      <c r="C92" s="45"/>
      <c r="D92" s="101"/>
      <c r="E92" s="101"/>
    </row>
    <row r="93" spans="1:8">
      <c r="A93" s="64"/>
      <c r="B93" s="45"/>
      <c r="C93" s="45"/>
      <c r="D93" s="101"/>
      <c r="E93" s="101"/>
    </row>
    <row r="94" spans="1:8">
      <c r="A94" s="91"/>
      <c r="B94" s="101"/>
      <c r="C94" s="59"/>
      <c r="D94" s="101"/>
      <c r="E94" s="101"/>
    </row>
    <row r="95" spans="1:8">
      <c r="A95" s="7"/>
      <c r="B95" s="101"/>
      <c r="C95" s="18"/>
      <c r="D95" s="101"/>
      <c r="E95" s="101"/>
    </row>
    <row r="96" spans="1:8">
      <c r="B96" s="101"/>
      <c r="C96" s="18"/>
      <c r="D96" s="101"/>
      <c r="E96" s="101"/>
    </row>
    <row r="97" spans="1:5">
      <c r="B97" s="101"/>
      <c r="C97" s="18"/>
      <c r="D97" s="101"/>
      <c r="E97" s="101"/>
    </row>
    <row r="98" spans="1:5">
      <c r="B98" s="101"/>
      <c r="C98" s="18"/>
      <c r="D98" s="101"/>
      <c r="E98" s="101"/>
    </row>
    <row r="99" spans="1:5">
      <c r="A99" s="61"/>
      <c r="B99" s="101"/>
      <c r="C99" s="101"/>
      <c r="D99" s="101"/>
      <c r="E99" s="101"/>
    </row>
    <row r="100" spans="1:5">
      <c r="A100" s="61"/>
      <c r="B100" s="101"/>
      <c r="C100" s="101"/>
      <c r="D100" s="101"/>
      <c r="E100" s="101"/>
    </row>
  </sheetData>
  <mergeCells count="9">
    <mergeCell ref="A73:E73"/>
    <mergeCell ref="A5:A6"/>
    <mergeCell ref="A28:A29"/>
    <mergeCell ref="A51:A52"/>
    <mergeCell ref="B5:B6"/>
    <mergeCell ref="C5:I5"/>
    <mergeCell ref="B28:B29"/>
    <mergeCell ref="C28:I28"/>
    <mergeCell ref="B51:C52"/>
  </mergeCells>
  <hyperlinks>
    <hyperlink ref="K2" location="Índice!A1" display="Índice"/>
    <hyperlink ref="K3" location="'Cuadro 7-Herrera'!A27" display="Composición "/>
    <hyperlink ref="K4" location="'Cuadro 7-Herrera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5" max="8" man="1"/>
    <brk id="48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P2"/>
  <sheetViews>
    <sheetView zoomScaleNormal="10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57" orientation="portrait" r:id="rId1"/>
  <colBreaks count="1" manualBreakCount="1">
    <brk id="14" max="53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86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167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168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101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89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Toro'!C$6,DATOS!$B:$B,"B100101_07",DATOS!$G:$G,"0311",DATOS!$C:$C,"00")</f>
        <v>174.95464688676935</v>
      </c>
      <c r="D7" s="194">
        <f>SUMIFS(DATOS!$F:$F,DATOS!$D:$D,$A7,DATOS!$A:$A,'Cuadro 2-Bocas del Toro'!D$6,DATOS!$B:$B,"B100101_07",DATOS!$G:$G,"0311",DATOS!$C:$C,"00")</f>
        <v>183.31014845814133</v>
      </c>
      <c r="E7" s="194">
        <f>SUMIFS(DATOS!$F:$F,DATOS!$D:$D,$A7,DATOS!$A:$A,'Cuadro 2-Bocas del Toro'!E$6,DATOS!$B:$B,"B100101_07",DATOS!$G:$G,"0311",DATOS!$C:$C,"00")</f>
        <v>194.42394831903849</v>
      </c>
      <c r="F7" s="194">
        <f>SUMIFS(DATOS!$F:$F,DATOS!$D:$D,$A7,DATOS!$A:$A,'Cuadro 2-Bocas del Toro'!F$6,DATOS!$B:$B,"B100101_07",DATOS!$G:$G,"0311",DATOS!$C:$C,"00")</f>
        <v>214.01280006848421</v>
      </c>
      <c r="G7" s="194">
        <f>SUMIFS(DATOS!$F:$F,DATOS!$D:$D,$A7,DATOS!$A:$A,'Cuadro 2-Bocas del Toro'!G$6,DATOS!$B:$B,"B100101_07",DATOS!$G:$G,"0311",DATOS!$C:$C,"00")</f>
        <v>212.65039174367953</v>
      </c>
      <c r="H7" s="194">
        <f>SUMIFS(DATOS!$F:$F,DATOS!$D:$D,$A7,DATOS!$A:$A,'Cuadro 2-Bocas del Toro'!H$6,DATOS!$B:$B,"B100101_07",DATOS!$G:$G,"0311",DATOS!$C:$C,"00")</f>
        <v>219.82900432921269</v>
      </c>
      <c r="I7" s="195">
        <f>SUMIFS(DATOS!$F:$F,DATOS!$D:$D,$A7,DATOS!$A:$A,'Cuadro 2-Bocas del Toro'!I$6,DATOS!$B:$B,"B100101_07",DATOS!$G:$G,"0311",DATOS!$C:$C,"00")</f>
        <v>227.65117220223644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Toro'!C$6,DATOS!$B:$B,"B100101_07",DATOS!$G:$G,"0311",DATOS!$C:$C,"00")</f>
        <v>8.0422886036450372</v>
      </c>
      <c r="D8" s="194">
        <f>SUMIFS(DATOS!$F:$F,DATOS!$D:$D,$A8,DATOS!$A:$A,'Cuadro 2-Bocas del Toro'!D$6,DATOS!$B:$B,"B100101_07",DATOS!$G:$G,"0311",DATOS!$C:$C,"00")</f>
        <v>18.640399792761357</v>
      </c>
      <c r="E8" s="194">
        <f>SUMIFS(DATOS!$F:$F,DATOS!$D:$D,$A8,DATOS!$A:$A,'Cuadro 2-Bocas del Toro'!E$6,DATOS!$B:$B,"B100101_07",DATOS!$G:$G,"0311",DATOS!$C:$C,"00")</f>
        <v>9.5767805945872517</v>
      </c>
      <c r="F8" s="194">
        <f>SUMIFS(DATOS!$F:$F,DATOS!$D:$D,$A8,DATOS!$A:$A,'Cuadro 2-Bocas del Toro'!F$6,DATOS!$B:$B,"B100101_07",DATOS!$G:$G,"0311",DATOS!$C:$C,"00")</f>
        <v>13.781728628204911</v>
      </c>
      <c r="G8" s="194">
        <f>SUMIFS(DATOS!$F:$F,DATOS!$D:$D,$A8,DATOS!$A:$A,'Cuadro 2-Bocas del Toro'!G$6,DATOS!$B:$B,"B100101_07",DATOS!$G:$G,"0311",DATOS!$C:$C,"00")</f>
        <v>18.27685219119244</v>
      </c>
      <c r="H8" s="194">
        <f>SUMIFS(DATOS!$F:$F,DATOS!$D:$D,$A8,DATOS!$A:$A,'Cuadro 2-Bocas del Toro'!H$6,DATOS!$B:$B,"B100101_07",DATOS!$G:$G,"0311",DATOS!$C:$C,"00")</f>
        <v>17.010069460354359</v>
      </c>
      <c r="I8" s="195">
        <f>SUMIFS(DATOS!$F:$F,DATOS!$D:$D,$A8,DATOS!$A:$A,'Cuadro 2-Bocas del Toro'!I$6,DATOS!$B:$B,"B100101_07",DATOS!$G:$G,"0311",DATOS!$C:$C,"00")</f>
        <v>32.439680600443687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Toro'!C$6,DATOS!$B:$B,"B100101_07",DATOS!$G:$G,"0311",DATOS!$C:$C,"00")</f>
        <v>15.133024299880073</v>
      </c>
      <c r="D9" s="194">
        <f>SUMIFS(DATOS!$F:$F,DATOS!$D:$D,$A9,DATOS!$A:$A,'Cuadro 2-Bocas del Toro'!D$6,DATOS!$B:$B,"B100101_07",DATOS!$G:$G,"0311",DATOS!$C:$C,"00")</f>
        <v>14.130986142352683</v>
      </c>
      <c r="E9" s="194">
        <f>SUMIFS(DATOS!$F:$F,DATOS!$D:$D,$A9,DATOS!$A:$A,'Cuadro 2-Bocas del Toro'!E$6,DATOS!$B:$B,"B100101_07",DATOS!$G:$G,"0311",DATOS!$C:$C,"00")</f>
        <v>11.125438453789709</v>
      </c>
      <c r="F9" s="194">
        <f>SUMIFS(DATOS!$F:$F,DATOS!$D:$D,$A9,DATOS!$A:$A,'Cuadro 2-Bocas del Toro'!F$6,DATOS!$B:$B,"B100101_07",DATOS!$G:$G,"0311",DATOS!$C:$C,"00")</f>
        <v>9.1512682354041974</v>
      </c>
      <c r="G9" s="194">
        <f>SUMIFS(DATOS!$F:$F,DATOS!$D:$D,$A9,DATOS!$A:$A,'Cuadro 2-Bocas del Toro'!G$6,DATOS!$B:$B,"B100101_07",DATOS!$G:$G,"0311",DATOS!$C:$C,"00")</f>
        <v>12.028558347739699</v>
      </c>
      <c r="H9" s="194">
        <f>SUMIFS(DATOS!$F:$F,DATOS!$D:$D,$A9,DATOS!$A:$A,'Cuadro 2-Bocas del Toro'!H$6,DATOS!$B:$B,"B100101_07",DATOS!$G:$G,"0311",DATOS!$C:$C,"00")</f>
        <v>13.998296202472854</v>
      </c>
      <c r="I9" s="195">
        <f>SUMIFS(DATOS!$F:$F,DATOS!$D:$D,$A9,DATOS!$A:$A,'Cuadro 2-Bocas del Toro'!I$6,DATOS!$B:$B,"B100101_07",DATOS!$G:$G,"0311",DATOS!$C:$C,"00")</f>
        <v>15.902068998042777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Toro'!C$6,DATOS!$B:$B,"B100101_07",DATOS!$G:$G,"0311",DATOS!$C:$C,"00")</f>
        <v>11.874404732248184</v>
      </c>
      <c r="D10" s="194">
        <f>SUMIFS(DATOS!$F:$F,DATOS!$D:$D,$A10,DATOS!$A:$A,'Cuadro 2-Bocas del Toro'!D$6,DATOS!$B:$B,"B100101_07",DATOS!$G:$G,"0311",DATOS!$C:$C,"00")</f>
        <v>12.303735276602092</v>
      </c>
      <c r="E10" s="194">
        <f>SUMIFS(DATOS!$F:$F,DATOS!$D:$D,$A10,DATOS!$A:$A,'Cuadro 2-Bocas del Toro'!E$6,DATOS!$B:$B,"B100101_07",DATOS!$G:$G,"0311",DATOS!$C:$C,"00")</f>
        <v>13.433976845531486</v>
      </c>
      <c r="F10" s="194">
        <f>SUMIFS(DATOS!$F:$F,DATOS!$D:$D,$A10,DATOS!$A:$A,'Cuadro 2-Bocas del Toro'!F$6,DATOS!$B:$B,"B100101_07",DATOS!$G:$G,"0311",DATOS!$C:$C,"00")</f>
        <v>13.559984078909652</v>
      </c>
      <c r="G10" s="194">
        <f>SUMIFS(DATOS!$F:$F,DATOS!$D:$D,$A10,DATOS!$A:$A,'Cuadro 2-Bocas del Toro'!G$6,DATOS!$B:$B,"B100101_07",DATOS!$G:$G,"0311",DATOS!$C:$C,"00")</f>
        <v>14.722126427482612</v>
      </c>
      <c r="H10" s="194">
        <f>SUMIFS(DATOS!$F:$F,DATOS!$D:$D,$A10,DATOS!$A:$A,'Cuadro 2-Bocas del Toro'!H$6,DATOS!$B:$B,"B100101_07",DATOS!$G:$G,"0311",DATOS!$C:$C,"00")</f>
        <v>14.849519422047754</v>
      </c>
      <c r="I10" s="195">
        <f>SUMIFS(DATOS!$F:$F,DATOS!$D:$D,$A10,DATOS!$A:$A,'Cuadro 2-Bocas del Toro'!I$6,DATOS!$B:$B,"B100101_07",DATOS!$G:$G,"0311",DATOS!$C:$C,"00")</f>
        <v>14.338867780323172</v>
      </c>
    </row>
    <row r="11" spans="1:12" ht="32.25" customHeight="1">
      <c r="A11" s="56" t="s">
        <v>4</v>
      </c>
      <c r="B11" s="60" t="s">
        <v>94</v>
      </c>
      <c r="C11" s="194">
        <f>SUMIFS(DATOS!$F:$F,DATOS!$D:$D,$A11,DATOS!$A:$A,'Cuadro 2-Bocas del Toro'!C$6,DATOS!$B:$B,"B100101_07",DATOS!$G:$G,"0311",DATOS!$C:$C,"00")</f>
        <v>92.324269100129925</v>
      </c>
      <c r="D11" s="194">
        <f>SUMIFS(DATOS!$F:$F,DATOS!$D:$D,$A11,DATOS!$A:$A,'Cuadro 2-Bocas del Toro'!D$6,DATOS!$B:$B,"B100101_07",DATOS!$G:$G,"0311",DATOS!$C:$C,"00")</f>
        <v>217.868088800919</v>
      </c>
      <c r="E11" s="194">
        <f>SUMIFS(DATOS!$F:$F,DATOS!$D:$D,$A11,DATOS!$A:$A,'Cuadro 2-Bocas del Toro'!E$6,DATOS!$B:$B,"B100101_07",DATOS!$G:$G,"0311",DATOS!$C:$C,"00")</f>
        <v>114.08012278204853</v>
      </c>
      <c r="F11" s="194">
        <f>SUMIFS(DATOS!$F:$F,DATOS!$D:$D,$A11,DATOS!$A:$A,'Cuadro 2-Bocas del Toro'!F$6,DATOS!$B:$B,"B100101_07",DATOS!$G:$G,"0311",DATOS!$C:$C,"00")</f>
        <v>157.12586032663415</v>
      </c>
      <c r="G11" s="194">
        <f>SUMIFS(DATOS!$F:$F,DATOS!$D:$D,$A11,DATOS!$A:$A,'Cuadro 2-Bocas del Toro'!G$6,DATOS!$B:$B,"B100101_07",DATOS!$G:$G,"0311",DATOS!$C:$C,"00")</f>
        <v>197.66061486820499</v>
      </c>
      <c r="H11" s="194">
        <f>SUMIFS(DATOS!$F:$F,DATOS!$D:$D,$A11,DATOS!$A:$A,'Cuadro 2-Bocas del Toro'!H$6,DATOS!$B:$B,"B100101_07",DATOS!$G:$G,"0311",DATOS!$C:$C,"00")</f>
        <v>181.93863962347078</v>
      </c>
      <c r="I11" s="195">
        <f>SUMIFS(DATOS!$F:$F,DATOS!$D:$D,$A11,DATOS!$A:$A,'Cuadro 2-Bocas del Toro'!I$6,DATOS!$B:$B,"B100101_07",DATOS!$G:$G,"0311",DATOS!$C:$C,"00")</f>
        <v>245.97340834171035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Toro'!C$6,DATOS!$B:$B,"B100101_07",DATOS!$G:$G,"0311",DATOS!$C:$C,"00")</f>
        <v>23.757451490606645</v>
      </c>
      <c r="D12" s="194">
        <f>SUMIFS(DATOS!$F:$F,DATOS!$D:$D,$A12,DATOS!$A:$A,'Cuadro 2-Bocas del Toro'!D$6,DATOS!$B:$B,"B100101_07",DATOS!$G:$G,"0311",DATOS!$C:$C,"00")</f>
        <v>23.648631170062394</v>
      </c>
      <c r="E12" s="194">
        <f>SUMIFS(DATOS!$F:$F,DATOS!$D:$D,$A12,DATOS!$A:$A,'Cuadro 2-Bocas del Toro'!E$6,DATOS!$B:$B,"B100101_07",DATOS!$G:$G,"0311",DATOS!$C:$C,"00")</f>
        <v>15.447668362799138</v>
      </c>
      <c r="F12" s="194">
        <f>SUMIFS(DATOS!$F:$F,DATOS!$D:$D,$A12,DATOS!$A:$A,'Cuadro 2-Bocas del Toro'!F$6,DATOS!$B:$B,"B100101_07",DATOS!$G:$G,"0311",DATOS!$C:$C,"00")</f>
        <v>20.413316843963511</v>
      </c>
      <c r="G12" s="194">
        <f>SUMIFS(DATOS!$F:$F,DATOS!$D:$D,$A12,DATOS!$A:$A,'Cuadro 2-Bocas del Toro'!G$6,DATOS!$B:$B,"B100101_07",DATOS!$G:$G,"0311",DATOS!$C:$C,"00")</f>
        <v>18.573210953735611</v>
      </c>
      <c r="H12" s="194">
        <f>SUMIFS(DATOS!$F:$F,DATOS!$D:$D,$A12,DATOS!$A:$A,'Cuadro 2-Bocas del Toro'!H$6,DATOS!$B:$B,"B100101_07",DATOS!$G:$G,"0311",DATOS!$C:$C,"00")</f>
        <v>16.147896705167586</v>
      </c>
      <c r="I12" s="195">
        <f>SUMIFS(DATOS!$F:$F,DATOS!$D:$D,$A12,DATOS!$A:$A,'Cuadro 2-Bocas del Toro'!I$6,DATOS!$B:$B,"B100101_07",DATOS!$G:$G,"0311",DATOS!$C:$C,"00")</f>
        <v>16.491435109478225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Toro'!C$6,DATOS!$B:$B,"B100101_07",DATOS!$G:$G,"0311",DATOS!$C:$C,"00")</f>
        <v>34.73160219266579</v>
      </c>
      <c r="D13" s="194">
        <f>SUMIFS(DATOS!$F:$F,DATOS!$D:$D,$A13,DATOS!$A:$A,'Cuadro 2-Bocas del Toro'!D$6,DATOS!$B:$B,"B100101_07",DATOS!$G:$G,"0311",DATOS!$C:$C,"00")</f>
        <v>35.22199538342462</v>
      </c>
      <c r="E13" s="194">
        <f>SUMIFS(DATOS!$F:$F,DATOS!$D:$D,$A13,DATOS!$A:$A,'Cuadro 2-Bocas del Toro'!E$6,DATOS!$B:$B,"B100101_07",DATOS!$G:$G,"0311",DATOS!$C:$C,"00")</f>
        <v>23.038221191580529</v>
      </c>
      <c r="F13" s="194">
        <f>SUMIFS(DATOS!$F:$F,DATOS!$D:$D,$A13,DATOS!$A:$A,'Cuadro 2-Bocas del Toro'!F$6,DATOS!$B:$B,"B100101_07",DATOS!$G:$G,"0311",DATOS!$C:$C,"00")</f>
        <v>30.138632912981461</v>
      </c>
      <c r="G13" s="194">
        <f>SUMIFS(DATOS!$F:$F,DATOS!$D:$D,$A13,DATOS!$A:$A,'Cuadro 2-Bocas del Toro'!G$6,DATOS!$B:$B,"B100101_07",DATOS!$G:$G,"0311",DATOS!$C:$C,"00")</f>
        <v>33.733038630766416</v>
      </c>
      <c r="H13" s="194">
        <f>SUMIFS(DATOS!$F:$F,DATOS!$D:$D,$A13,DATOS!$A:$A,'Cuadro 2-Bocas del Toro'!H$6,DATOS!$B:$B,"B100101_07",DATOS!$G:$G,"0311",DATOS!$C:$C,"00")</f>
        <v>37.359115958029932</v>
      </c>
      <c r="I13" s="195">
        <f>SUMIFS(DATOS!$F:$F,DATOS!$D:$D,$A13,DATOS!$A:$A,'Cuadro 2-Bocas del Toro'!I$6,DATOS!$B:$B,"B100101_07",DATOS!$G:$G,"0311",DATOS!$C:$C,"00")</f>
        <v>42.233930986347858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Toro'!C$6,DATOS!$B:$B,"B100101_07",DATOS!$G:$G,"0311",DATOS!$C:$C,"00")</f>
        <v>8.2978380521764326</v>
      </c>
      <c r="D14" s="194">
        <f>SUMIFS(DATOS!$F:$F,DATOS!$D:$D,$A14,DATOS!$A:$A,'Cuadro 2-Bocas del Toro'!D$6,DATOS!$B:$B,"B100101_07",DATOS!$G:$G,"0311",DATOS!$C:$C,"00")</f>
        <v>8.8334417897968507</v>
      </c>
      <c r="E14" s="194">
        <f>SUMIFS(DATOS!$F:$F,DATOS!$D:$D,$A14,DATOS!$A:$A,'Cuadro 2-Bocas del Toro'!E$6,DATOS!$B:$B,"B100101_07",DATOS!$G:$G,"0311",DATOS!$C:$C,"00")</f>
        <v>3.2086034522463227</v>
      </c>
      <c r="F14" s="194">
        <f>SUMIFS(DATOS!$F:$F,DATOS!$D:$D,$A14,DATOS!$A:$A,'Cuadro 2-Bocas del Toro'!F$6,DATOS!$B:$B,"B100101_07",DATOS!$G:$G,"0311",DATOS!$C:$C,"00")</f>
        <v>5.4295733396258026</v>
      </c>
      <c r="G14" s="194">
        <f>SUMIFS(DATOS!$F:$F,DATOS!$D:$D,$A14,DATOS!$A:$A,'Cuadro 2-Bocas del Toro'!G$6,DATOS!$B:$B,"B100101_07",DATOS!$G:$G,"0311",DATOS!$C:$C,"00")</f>
        <v>5.1823604264708703</v>
      </c>
      <c r="H14" s="194">
        <f>SUMIFS(DATOS!$F:$F,DATOS!$D:$D,$A14,DATOS!$A:$A,'Cuadro 2-Bocas del Toro'!H$6,DATOS!$B:$B,"B100101_07",DATOS!$G:$G,"0311",DATOS!$C:$C,"00")</f>
        <v>5.368274027270111</v>
      </c>
      <c r="I14" s="195">
        <f>SUMIFS(DATOS!$F:$F,DATOS!$D:$D,$A14,DATOS!$A:$A,'Cuadro 2-Bocas del Toro'!I$6,DATOS!$B:$B,"B100101_07",DATOS!$G:$G,"0311",DATOS!$C:$C,"00")</f>
        <v>7.8330331934245647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Toro'!C$6,DATOS!$B:$B,"B100101_07",DATOS!$G:$G,"0311",DATOS!$C:$C,"00")</f>
        <v>36.559211391048464</v>
      </c>
      <c r="D15" s="194">
        <f>SUMIFS(DATOS!$F:$F,DATOS!$D:$D,$A15,DATOS!$A:$A,'Cuadro 2-Bocas del Toro'!D$6,DATOS!$B:$B,"B100101_07",DATOS!$G:$G,"0311",DATOS!$C:$C,"00")</f>
        <v>36.129860022428346</v>
      </c>
      <c r="E15" s="194">
        <f>SUMIFS(DATOS!$F:$F,DATOS!$D:$D,$A15,DATOS!$A:$A,'Cuadro 2-Bocas del Toro'!E$6,DATOS!$B:$B,"B100101_07",DATOS!$G:$G,"0311",DATOS!$C:$C,"00")</f>
        <v>36.162272125356061</v>
      </c>
      <c r="F15" s="194">
        <f>SUMIFS(DATOS!$F:$F,DATOS!$D:$D,$A15,DATOS!$A:$A,'Cuadro 2-Bocas del Toro'!F$6,DATOS!$B:$B,"B100101_07",DATOS!$G:$G,"0311",DATOS!$C:$C,"00")</f>
        <v>37.824458639009009</v>
      </c>
      <c r="G15" s="194">
        <f>SUMIFS(DATOS!$F:$F,DATOS!$D:$D,$A15,DATOS!$A:$A,'Cuadro 2-Bocas del Toro'!G$6,DATOS!$B:$B,"B100101_07",DATOS!$G:$G,"0311",DATOS!$C:$C,"00")</f>
        <v>36.929598221606703</v>
      </c>
      <c r="H15" s="194">
        <f>SUMIFS(DATOS!$F:$F,DATOS!$D:$D,$A15,DATOS!$A:$A,'Cuadro 2-Bocas del Toro'!H$6,DATOS!$B:$B,"B100101_07",DATOS!$G:$G,"0311",DATOS!$C:$C,"00")</f>
        <v>39.127428568897322</v>
      </c>
      <c r="I15" s="195">
        <f>SUMIFS(DATOS!$F:$F,DATOS!$D:$D,$A15,DATOS!$A:$A,'Cuadro 2-Bocas del Toro'!I$6,DATOS!$B:$B,"B100101_07",DATOS!$G:$G,"0311",DATOS!$C:$C,"00")</f>
        <v>41.121498120125054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Toro'!C$6,DATOS!$B:$B,"B100101_07",DATOS!$G:$G,"0311",DATOS!$C:$C,"00")</f>
        <v>28.460349646571405</v>
      </c>
      <c r="D16" s="194">
        <f>SUMIFS(DATOS!$F:$F,DATOS!$D:$D,$A16,DATOS!$A:$A,'Cuadro 2-Bocas del Toro'!D$6,DATOS!$B:$B,"B100101_07",DATOS!$G:$G,"0311",DATOS!$C:$C,"00")</f>
        <v>29.300149257706881</v>
      </c>
      <c r="E16" s="194">
        <f>SUMIFS(DATOS!$F:$F,DATOS!$D:$D,$A16,DATOS!$A:$A,'Cuadro 2-Bocas del Toro'!E$6,DATOS!$B:$B,"B100101_07",DATOS!$G:$G,"0311",DATOS!$C:$C,"00")</f>
        <v>28.596241371742138</v>
      </c>
      <c r="F16" s="194">
        <f>SUMIFS(DATOS!$F:$F,DATOS!$D:$D,$A16,DATOS!$A:$A,'Cuadro 2-Bocas del Toro'!F$6,DATOS!$B:$B,"B100101_07",DATOS!$G:$G,"0311",DATOS!$C:$C,"00")</f>
        <v>30.67764907591442</v>
      </c>
      <c r="G16" s="194">
        <f>SUMIFS(DATOS!$F:$F,DATOS!$D:$D,$A16,DATOS!$A:$A,'Cuadro 2-Bocas del Toro'!G$6,DATOS!$B:$B,"B100101_07",DATOS!$G:$G,"0311",DATOS!$C:$C,"00")</f>
        <v>33.793432643546709</v>
      </c>
      <c r="H16" s="194">
        <f>SUMIFS(DATOS!$F:$F,DATOS!$D:$D,$A16,DATOS!$A:$A,'Cuadro 2-Bocas del Toro'!H$6,DATOS!$B:$B,"B100101_07",DATOS!$G:$G,"0311",DATOS!$C:$C,"00")</f>
        <v>32.965199507478125</v>
      </c>
      <c r="I16" s="195">
        <f>SUMIFS(DATOS!$F:$F,DATOS!$D:$D,$A16,DATOS!$A:$A,'Cuadro 2-Bocas del Toro'!I$6,DATOS!$B:$B,"B100101_07",DATOS!$G:$G,"0311",DATOS!$C:$C,"00")</f>
        <v>34.659323382303953</v>
      </c>
    </row>
    <row r="17" spans="1:16" ht="32.25" customHeight="1">
      <c r="A17" s="56" t="s">
        <v>70</v>
      </c>
      <c r="B17" s="60" t="s">
        <v>95</v>
      </c>
      <c r="C17" s="194">
        <f>SUMIFS(DATOS!$F:$F,DATOS!$D:$D,$A17,DATOS!$A:$A,'Cuadro 2-Bocas del Toro'!C$6,DATOS!$B:$B,"B100101_07",DATOS!$G:$G,"0311",DATOS!$C:$C,"00")</f>
        <v>65.339840588368844</v>
      </c>
      <c r="D17" s="194">
        <f>SUMIFS(DATOS!$F:$F,DATOS!$D:$D,$A17,DATOS!$A:$A,'Cuadro 2-Bocas del Toro'!D$6,DATOS!$B:$B,"B100101_07",DATOS!$G:$G,"0311",DATOS!$C:$C,"00")</f>
        <v>68.227038575685313</v>
      </c>
      <c r="E17" s="194">
        <f>SUMIFS(DATOS!$F:$F,DATOS!$D:$D,$A17,DATOS!$A:$A,'Cuadro 2-Bocas del Toro'!E$6,DATOS!$B:$B,"B100101_07",DATOS!$G:$G,"0311",DATOS!$C:$C,"00")</f>
        <v>65.731738013166606</v>
      </c>
      <c r="F17" s="194">
        <f>SUMIFS(DATOS!$F:$F,DATOS!$D:$D,$A17,DATOS!$A:$A,'Cuadro 2-Bocas del Toro'!F$6,DATOS!$B:$B,"B100101_07",DATOS!$G:$G,"0311",DATOS!$C:$C,"00")</f>
        <v>67.403970497777166</v>
      </c>
      <c r="G17" s="194">
        <f>SUMIFS(DATOS!$F:$F,DATOS!$D:$D,$A17,DATOS!$A:$A,'Cuadro 2-Bocas del Toro'!G$6,DATOS!$B:$B,"B100101_07",DATOS!$G:$G,"0311",DATOS!$C:$C,"00")</f>
        <v>73.908741919168619</v>
      </c>
      <c r="H17" s="194">
        <f>SUMIFS(DATOS!$F:$F,DATOS!$D:$D,$A17,DATOS!$A:$A,'Cuadro 2-Bocas del Toro'!H$6,DATOS!$B:$B,"B100101_07",DATOS!$G:$G,"0311",DATOS!$C:$C,"00")</f>
        <v>63.586486910135292</v>
      </c>
      <c r="I17" s="195">
        <f>SUMIFS(DATOS!$F:$F,DATOS!$D:$D,$A17,DATOS!$A:$A,'Cuadro 2-Bocas del Toro'!I$6,DATOS!$B:$B,"B100101_07",DATOS!$G:$G,"0311",DATOS!$C:$C,"00")</f>
        <v>71.71234186095549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Toro'!C$6,DATOS!$B:$B,"B100101_07",DATOS!$G:$G,"0311",DATOS!$C:$C,"00")</f>
        <v>0.69430855020687166</v>
      </c>
      <c r="D18" s="194">
        <f>SUMIFS(DATOS!$F:$F,DATOS!$D:$D,$A18,DATOS!$A:$A,'Cuadro 2-Bocas del Toro'!D$6,DATOS!$B:$B,"B100101_07",DATOS!$G:$G,"0311",DATOS!$C:$C,"00")</f>
        <v>0.89769789389262367</v>
      </c>
      <c r="E18" s="194">
        <f>SUMIFS(DATOS!$F:$F,DATOS!$D:$D,$A18,DATOS!$A:$A,'Cuadro 2-Bocas del Toro'!E$6,DATOS!$B:$B,"B100101_07",DATOS!$G:$G,"0311",DATOS!$C:$C,"00")</f>
        <v>0.92396338462277172</v>
      </c>
      <c r="F18" s="194">
        <f>SUMIFS(DATOS!$F:$F,DATOS!$D:$D,$A18,DATOS!$A:$A,'Cuadro 2-Bocas del Toro'!F$6,DATOS!$B:$B,"B100101_07",DATOS!$G:$G,"0311",DATOS!$C:$C,"00")</f>
        <v>0.76712098608247614</v>
      </c>
      <c r="G18" s="194">
        <f>SUMIFS(DATOS!$F:$F,DATOS!$D:$D,$A18,DATOS!$A:$A,'Cuadro 2-Bocas del Toro'!G$6,DATOS!$B:$B,"B100101_07",DATOS!$G:$G,"0311",DATOS!$C:$C,"00")</f>
        <v>0.84491922559861221</v>
      </c>
      <c r="H18" s="194">
        <f>SUMIFS(DATOS!$F:$F,DATOS!$D:$D,$A18,DATOS!$A:$A,'Cuadro 2-Bocas del Toro'!H$6,DATOS!$B:$B,"B100101_07",DATOS!$G:$G,"0311",DATOS!$C:$C,"00")</f>
        <v>0.92345538924252124</v>
      </c>
      <c r="I18" s="195">
        <f>SUMIFS(DATOS!$F:$F,DATOS!$D:$D,$A18,DATOS!$A:$A,'Cuadro 2-Bocas del Toro'!I$6,DATOS!$B:$B,"B100101_07",DATOS!$G:$G,"0311",DATOS!$C:$C,"00")</f>
        <v>0.83395285580460599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Toro'!C$6,DATOS!$B:$B,"B100101_07",DATOS!$G:$G,"0311",DATOS!$C:$C,"00")</f>
        <v>3.5125187515660336E-2</v>
      </c>
      <c r="D19" s="194">
        <f>SUMIFS(DATOS!$F:$F,DATOS!$D:$D,$A19,DATOS!$A:$A,'Cuadro 2-Bocas del Toro'!D$6,DATOS!$B:$B,"B100101_07",DATOS!$G:$G,"0311",DATOS!$C:$C,"00")</f>
        <v>5.5555255234810003E-2</v>
      </c>
      <c r="E19" s="194">
        <f>SUMIFS(DATOS!$F:$F,DATOS!$D:$D,$A19,DATOS!$A:$A,'Cuadro 2-Bocas del Toro'!E$6,DATOS!$B:$B,"B100101_07",DATOS!$G:$G,"0311",DATOS!$C:$C,"00")</f>
        <v>5.7817618818124118E-2</v>
      </c>
      <c r="F19" s="194">
        <f>SUMIFS(DATOS!$F:$F,DATOS!$D:$D,$A19,DATOS!$A:$A,'Cuadro 2-Bocas del Toro'!F$6,DATOS!$B:$B,"B100101_07",DATOS!$G:$G,"0311",DATOS!$C:$C,"00")</f>
        <v>5.454577236888318E-2</v>
      </c>
      <c r="G19" s="194">
        <f>SUMIFS(DATOS!$F:$F,DATOS!$D:$D,$A19,DATOS!$A:$A,'Cuadro 2-Bocas del Toro'!G$6,DATOS!$B:$B,"B100101_07",DATOS!$G:$G,"0311",DATOS!$C:$C,"00")</f>
        <v>7.9887138599654517E-2</v>
      </c>
      <c r="H19" s="194">
        <f>SUMIFS(DATOS!$F:$F,DATOS!$D:$D,$A19,DATOS!$A:$A,'Cuadro 2-Bocas del Toro'!H$6,DATOS!$B:$B,"B100101_07",DATOS!$G:$G,"0311",DATOS!$C:$C,"00")</f>
        <v>9.7315228644047805E-2</v>
      </c>
      <c r="I19" s="195">
        <f>SUMIFS(DATOS!$F:$F,DATOS!$D:$D,$A19,DATOS!$A:$A,'Cuadro 2-Bocas del Toro'!I$6,DATOS!$B:$B,"B100101_07",DATOS!$G:$G,"0311",DATOS!$C:$C,"00")</f>
        <v>8.3379759806487833E-2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Toro'!C$6,DATOS!$B:$B,"B100101_07",DATOS!$G:$G,"0311",DATOS!$C:$C,"00")</f>
        <v>0.87286399222572342</v>
      </c>
      <c r="D20" s="194">
        <f>SUMIFS(DATOS!$F:$F,DATOS!$D:$D,$A20,DATOS!$A:$A,'Cuadro 2-Bocas del Toro'!D$6,DATOS!$B:$B,"B100101_07",DATOS!$G:$G,"0311",DATOS!$C:$C,"00")</f>
        <v>0.72596960434119084</v>
      </c>
      <c r="E20" s="194">
        <f>SUMIFS(DATOS!$F:$F,DATOS!$D:$D,$A20,DATOS!$A:$A,'Cuadro 2-Bocas del Toro'!E$6,DATOS!$B:$B,"B100101_07",DATOS!$G:$G,"0311",DATOS!$C:$C,"00")</f>
        <v>0.58586609495691278</v>
      </c>
      <c r="F20" s="194">
        <f>SUMIFS(DATOS!$F:$F,DATOS!$D:$D,$A20,DATOS!$A:$A,'Cuadro 2-Bocas del Toro'!F$6,DATOS!$B:$B,"B100101_07",DATOS!$G:$G,"0311",DATOS!$C:$C,"00")</f>
        <v>0.6525223623703883</v>
      </c>
      <c r="G20" s="194">
        <f>SUMIFS(DATOS!$F:$F,DATOS!$D:$D,$A20,DATOS!$A:$A,'Cuadro 2-Bocas del Toro'!G$6,DATOS!$B:$B,"B100101_07",DATOS!$G:$G,"0311",DATOS!$C:$C,"00")</f>
        <v>0.7897409418656206</v>
      </c>
      <c r="H20" s="194">
        <f>SUMIFS(DATOS!$F:$F,DATOS!$D:$D,$A20,DATOS!$A:$A,'Cuadro 2-Bocas del Toro'!H$6,DATOS!$B:$B,"B100101_07",DATOS!$G:$G,"0311",DATOS!$C:$C,"00")</f>
        <v>0.81545995813619077</v>
      </c>
      <c r="I20" s="195">
        <f>SUMIFS(DATOS!$F:$F,DATOS!$D:$D,$A20,DATOS!$A:$A,'Cuadro 2-Bocas del Toro'!I$6,DATOS!$B:$B,"B100101_07",DATOS!$G:$G,"0311",DATOS!$C:$C,"00")</f>
        <v>0.73424777278946152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Toro'!C$6,DATOS!$B:$B,"B100101_07",DATOS!$G:$G,"0311",DATOS!$C:$C,"00")</f>
        <v>9.640084734549589</v>
      </c>
      <c r="D21" s="196">
        <f>SUMIFS(DATOS!$F:$F,DATOS!$D:$D,$A21,DATOS!$A:$A,'Cuadro 2-Bocas del Toro'!D$6,DATOS!$B:$B,"B100101_07",DATOS!$G:$G,"0311",DATOS!$C:$C,"00")</f>
        <v>10.582073207371023</v>
      </c>
      <c r="E21" s="196">
        <f>SUMIFS(DATOS!$F:$F,DATOS!$D:$D,$A21,DATOS!$A:$A,'Cuadro 2-Bocas del Toro'!E$6,DATOS!$B:$B,"B100101_07",DATOS!$G:$G,"0311",DATOS!$C:$C,"00")</f>
        <v>8.5030424466104595</v>
      </c>
      <c r="F21" s="196">
        <f>SUMIFS(DATOS!$F:$F,DATOS!$D:$D,$A21,DATOS!$A:$A,'Cuadro 2-Bocas del Toro'!F$6,DATOS!$B:$B,"B100101_07",DATOS!$G:$G,"0311",DATOS!$C:$C,"00")</f>
        <v>7.3460058033861051</v>
      </c>
      <c r="G21" s="196">
        <f>SUMIFS(DATOS!$F:$F,DATOS!$D:$D,$A21,DATOS!$A:$A,'Cuadro 2-Bocas del Toro'!G$6,DATOS!$B:$B,"B100101_07",DATOS!$G:$G,"0311",DATOS!$C:$C,"00")</f>
        <v>8.5240683950018177</v>
      </c>
      <c r="H21" s="197">
        <f>SUMIFS(DATOS!$F:$F,DATOS!$D:$D,$A21,DATOS!$A:$A,'Cuadro 2-Bocas del Toro'!H$6,DATOS!$B:$B,"B100101_07",DATOS!$G:$G,"0311",DATOS!$C:$C,"00")</f>
        <v>7.5085567103326936</v>
      </c>
      <c r="I21" s="198">
        <f>SUMIFS(DATOS!$F:$F,DATOS!$D:$D,$A21,DATOS!$A:$A,'Cuadro 2-Bocas del Toro'!I$6,DATOS!$B:$B,"B100101_07",DATOS!$G:$G,"0311",DATOS!$C:$C,"00")</f>
        <v>8.4939456961742401</v>
      </c>
    </row>
    <row r="22" spans="1:16" ht="32.25" customHeight="1">
      <c r="A22" s="25"/>
      <c r="B22" s="22" t="s">
        <v>93</v>
      </c>
      <c r="C22" s="196">
        <f>SUMIFS(DATOS!$F:$F,DATOS!$D:$D,"GOB",DATOS!$A:$A,'Cuadro 2-Bocas del Toro'!C$6,DATOS!$B:$B,"B100103_07",DATOS!$G:$G,"0311",DATOS!$C:$C,"00")</f>
        <v>175.63355588385969</v>
      </c>
      <c r="D22" s="196">
        <f>SUMIFS(DATOS!$F:$F,DATOS!$D:$D,"GOB",DATOS!$A:$A,'Cuadro 2-Bocas del Toro'!D$6,DATOS!$B:$B,"B100103_07",DATOS!$G:$G,"0311",DATOS!$C:$C,"00")</f>
        <v>199.56114223700027</v>
      </c>
      <c r="E22" s="196">
        <f>SUMIFS(DATOS!$F:$F,DATOS!$D:$D,"GOB",DATOS!$A:$A,'Cuadro 2-Bocas del Toro'!E$6,DATOS!$B:$B,"B100103_07",DATOS!$G:$G,"0311",DATOS!$C:$C,"00")</f>
        <v>212.07980447240735</v>
      </c>
      <c r="F22" s="196">
        <f>SUMIFS(DATOS!$F:$F,DATOS!$D:$D,"GOB",DATOS!$A:$A,'Cuadro 2-Bocas del Toro'!F$6,DATOS!$B:$B,"B100103_07",DATOS!$G:$G,"0311",DATOS!$C:$C,"00")</f>
        <v>215.06055612108489</v>
      </c>
      <c r="G22" s="196">
        <f>SUMIFS(DATOS!$F:$F,DATOS!$D:$D,"GOB",DATOS!$A:$A,'Cuadro 2-Bocas del Toro'!G$6,DATOS!$B:$B,"B100103_07",DATOS!$G:$G,"0311",DATOS!$C:$C,"00")</f>
        <v>231.25169872133418</v>
      </c>
      <c r="H22" s="197">
        <f>SUMIFS(DATOS!$F:$F,DATOS!$D:$D,"GOB",DATOS!$A:$A,'Cuadro 2-Bocas del Toro'!H$6,DATOS!$B:$B,"B100103_07",DATOS!$G:$G,"0311",DATOS!$C:$C,"00")</f>
        <v>195.23650615445459</v>
      </c>
      <c r="I22" s="198">
        <f>SUMIFS(DATOS!$F:$F,DATOS!$D:$D,"GOB",DATOS!$A:$A,'Cuadro 2-Bocas del Toro'!I$6,DATOS!$B:$B,"B100103_07",DATOS!$G:$G,"0311",DATOS!$C:$C,"00")</f>
        <v>211.72794533409808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Toro'!C$6,DATOS!$B:$B,"VAB_07",DATOS!$G:$G,"0311",DATOS!$C:$C,"00")</f>
        <v>686.35086533246772</v>
      </c>
      <c r="D23" s="199">
        <f>SUMIFS(DATOS!$F:$F,DATOS!$D:$D,"VAB",DATOS!$A:$A,'Cuadro 2-Bocas del Toro'!D$6,DATOS!$B:$B,"VAB_07",DATOS!$G:$G,"0311",DATOS!$C:$C,"00")</f>
        <v>859.43691286772082</v>
      </c>
      <c r="E23" s="199">
        <f>SUMIFS(DATOS!$F:$F,DATOS!$D:$D,"VAB",DATOS!$A:$A,'Cuadro 2-Bocas del Toro'!E$6,DATOS!$B:$B,"VAB_07",DATOS!$G:$G,"0311",DATOS!$C:$C,"00")</f>
        <v>736.51173834399606</v>
      </c>
      <c r="F23" s="199">
        <f>SUMIFS(DATOS!$F:$F,DATOS!$D:$D,"VAB",DATOS!$A:$A,'Cuadro 2-Bocas del Toro'!F$6,DATOS!$B:$B,"VAB_07",DATOS!$G:$G,"0311",DATOS!$C:$C,"00")</f>
        <v>824.98298080133668</v>
      </c>
      <c r="G23" s="199">
        <f>SUMIFS(DATOS!$F:$F,DATOS!$D:$D,"VAB",DATOS!$A:$A,'Cuadro 2-Bocas del Toro'!G$6,DATOS!$B:$B,"VAB_07",DATOS!$G:$G,"0311",DATOS!$C:$C,"00")</f>
        <v>903.64454214810598</v>
      </c>
      <c r="H23" s="200">
        <f>SUMIFS(DATOS!$F:$F,DATOS!$D:$D,"VAB",DATOS!$A:$A,'Cuadro 2-Bocas del Toro'!H$6,DATOS!$B:$B,"VAB_07",DATOS!$G:$G,"0311",DATOS!$C:$C,"00")</f>
        <v>849.98870487271938</v>
      </c>
      <c r="I23" s="201">
        <f>SUMIFS(DATOS!$F:$F,DATOS!$D:$D,"VAB",DATOS!$A:$A,'Cuadro 2-Bocas del Toro'!I$6,DATOS!$B:$B,"VAB_07",DATOS!$G:$G,"0311",DATOS!$C:$C,"00")</f>
        <v>977.63642639289424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Toro'!C$6,DATOS!$B:$B,"IMP_07",DATOS!$G:$G,"0311",DATOS!$C:$C,"00")</f>
        <v>29.833778191821676</v>
      </c>
      <c r="D24" s="196">
        <f>SUMIFS(DATOS!$F:$F,DATOS!$D:$D,"IMP",DATOS!$A:$A,'Cuadro 2-Bocas del Toro'!D$6,DATOS!$B:$B,"IMP_07",DATOS!$G:$G,"0311",DATOS!$C:$C,"00")</f>
        <v>30.865785377663041</v>
      </c>
      <c r="E24" s="196">
        <f>SUMIFS(DATOS!$F:$F,DATOS!$D:$D,"IMP",DATOS!$A:$A,'Cuadro 2-Bocas del Toro'!E$6,DATOS!$B:$B,"IMP_07",DATOS!$G:$G,"0311",DATOS!$C:$C,"00")</f>
        <v>19.916402595016148</v>
      </c>
      <c r="F24" s="196">
        <f>SUMIFS(DATOS!$F:$F,DATOS!$D:$D,"IMP",DATOS!$A:$A,'Cuadro 2-Bocas del Toro'!F$6,DATOS!$B:$B,"IMP_07",DATOS!$G:$G,"0311",DATOS!$C:$C,"00")</f>
        <v>23.726811854869485</v>
      </c>
      <c r="G24" s="196">
        <f>SUMIFS(DATOS!$F:$F,DATOS!$D:$D,"IMP",DATOS!$A:$A,'Cuadro 2-Bocas del Toro'!G$6,DATOS!$B:$B,"IMP_07",DATOS!$G:$G,"0311",DATOS!$C:$C,"00")</f>
        <v>27.285085736736548</v>
      </c>
      <c r="H24" s="197">
        <f>SUMIFS(DATOS!$F:$F,DATOS!$D:$D,"IMP",DATOS!$A:$A,'Cuadro 2-Bocas del Toro'!H$6,DATOS!$B:$B,"IMP_07",DATOS!$G:$G,"0311",DATOS!$C:$C,"00")</f>
        <v>27.485107073052742</v>
      </c>
      <c r="I24" s="198">
        <f>SUMIFS(DATOS!$F:$F,DATOS!$D:$D,"IMP",DATOS!$A:$A,'Cuadro 2-Bocas del Toro'!I$6,DATOS!$B:$B,"IMP_07",DATOS!$G:$G,"0311",DATOS!$C:$C,"00")</f>
        <v>29.151929456343446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Toro'!C$6,DATOS!$B:$B,"PIB_07",DATOS!$G:$G,"0311",DATOS!$C:$C,"00")</f>
        <v>716.18464352428941</v>
      </c>
      <c r="D25" s="199">
        <f>SUMIFS(DATOS!$F:$F,DATOS!$D:$D,"PIB",DATOS!$A:$A,'Cuadro 2-Bocas del Toro'!D$6,DATOS!$B:$B,"PIB_07",DATOS!$G:$G,"0311",DATOS!$C:$C,"00")</f>
        <v>890.30269824538379</v>
      </c>
      <c r="E25" s="199">
        <f>SUMIFS(DATOS!$F:$F,DATOS!$D:$D,"PIB",DATOS!$A:$A,'Cuadro 2-Bocas del Toro'!E$6,DATOS!$B:$B,"PIB_07",DATOS!$G:$G,"0311",DATOS!$C:$C,"00")</f>
        <v>756.73923563175981</v>
      </c>
      <c r="F25" s="199">
        <f>SUMIFS(DATOS!$F:$F,DATOS!$D:$D,"PIB",DATOS!$A:$A,'Cuadro 2-Bocas del Toro'!F$6,DATOS!$B:$B,"PIB_07",DATOS!$G:$G,"0311",DATOS!$C:$C,"00")</f>
        <v>849.0170320966796</v>
      </c>
      <c r="G25" s="199">
        <f>SUMIFS(DATOS!$F:$F,DATOS!$D:$D,"PIB",DATOS!$A:$A,'Cuadro 2-Bocas del Toro'!G$6,DATOS!$B:$B,"PIB_07",DATOS!$G:$G,"0311",DATOS!$C:$C,"00")</f>
        <v>931.24823307148608</v>
      </c>
      <c r="H25" s="200">
        <f>SUMIFS(DATOS!$F:$F,DATOS!$D:$D,"PIB",DATOS!$A:$A,'Cuadro 2-Bocas del Toro'!H$6,DATOS!$B:$B,"PIB_07",DATOS!$G:$G,"0311",DATOS!$C:$C,"00")</f>
        <v>877.77778389244804</v>
      </c>
      <c r="I25" s="201">
        <f>SUMIFS(DATOS!$F:$F,DATOS!$D:$D,"PIB",DATOS!$A:$A,'Cuadro 2-Bocas del Toro'!I$6,DATOS!$B:$B,"PIB_07",DATOS!$G:$G,"0311",DATOS!$C:$C,"00")</f>
        <v>1007.3082966291034</v>
      </c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6.25" customHeight="1" thickBot="1">
      <c r="A27" s="192" t="s">
        <v>206</v>
      </c>
      <c r="B27" s="192"/>
      <c r="C27" s="192"/>
      <c r="D27" s="192"/>
      <c r="E27" s="192"/>
      <c r="F27" s="192"/>
      <c r="G27" s="192"/>
      <c r="H27" s="192"/>
      <c r="I27" s="192"/>
      <c r="J27" s="90"/>
      <c r="K27" s="75"/>
    </row>
    <row r="28" spans="1:16" ht="32.1" customHeight="1" thickTop="1">
      <c r="A28" s="217" t="s">
        <v>29</v>
      </c>
      <c r="B28" s="217" t="s">
        <v>30</v>
      </c>
      <c r="C28" s="217" t="s">
        <v>115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24.428706824238933</v>
      </c>
      <c r="D30" s="19">
        <f t="shared" ref="D30:I30" si="0">IFERROR(D7/D$25*100,"")</f>
        <v>20.589643142653678</v>
      </c>
      <c r="E30" s="19">
        <f t="shared" si="0"/>
        <v>25.69233088023045</v>
      </c>
      <c r="F30" s="19">
        <f t="shared" si="0"/>
        <v>25.207126827593967</v>
      </c>
      <c r="G30" s="19">
        <f t="shared" si="0"/>
        <v>22.834984721775651</v>
      </c>
      <c r="H30" s="19">
        <f t="shared" si="0"/>
        <v>25.043810445326535</v>
      </c>
      <c r="I30" s="143">
        <f t="shared" si="0"/>
        <v>22.599950081227107</v>
      </c>
      <c r="J30" s="50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46" si="1">IFERROR(C8/C$25*100,"")</f>
        <v>1.1229350805498364</v>
      </c>
      <c r="D31" s="19">
        <f t="shared" si="1"/>
        <v>2.0937148488371449</v>
      </c>
      <c r="E31" s="19">
        <f t="shared" si="1"/>
        <v>1.2655324507645127</v>
      </c>
      <c r="F31" s="19">
        <f t="shared" si="1"/>
        <v>1.6232570263249504</v>
      </c>
      <c r="G31" s="19">
        <f t="shared" si="1"/>
        <v>1.9626187242160857</v>
      </c>
      <c r="H31" s="19">
        <f t="shared" si="1"/>
        <v>1.9378560009714898</v>
      </c>
      <c r="I31" s="106">
        <f t="shared" si="1"/>
        <v>3.2204321863525918</v>
      </c>
      <c r="J31" s="50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si="1"/>
        <v>2.1130059736287596</v>
      </c>
      <c r="D32" s="19">
        <f t="shared" si="1"/>
        <v>1.58721142485608</v>
      </c>
      <c r="E32" s="19">
        <f t="shared" si="1"/>
        <v>1.4701812632328619</v>
      </c>
      <c r="F32" s="19">
        <f t="shared" si="1"/>
        <v>1.0778662723414152</v>
      </c>
      <c r="G32" s="19">
        <f t="shared" si="1"/>
        <v>1.2916597230006601</v>
      </c>
      <c r="H32" s="19">
        <f t="shared" si="1"/>
        <v>1.5947425942359044</v>
      </c>
      <c r="I32" s="106">
        <f t="shared" si="1"/>
        <v>1.5786695147114438</v>
      </c>
      <c r="J32" s="50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si="1"/>
        <v>1.6580088444531782</v>
      </c>
      <c r="D33" s="19">
        <f t="shared" si="1"/>
        <v>1.3819721428285459</v>
      </c>
      <c r="E33" s="19">
        <f t="shared" si="1"/>
        <v>1.7752451852607061</v>
      </c>
      <c r="F33" s="19">
        <f t="shared" si="1"/>
        <v>1.5971392288117896</v>
      </c>
      <c r="G33" s="19">
        <f t="shared" si="1"/>
        <v>1.5809024817073116</v>
      </c>
      <c r="H33" s="19">
        <f t="shared" si="1"/>
        <v>1.6917173907271308</v>
      </c>
      <c r="I33" s="106">
        <f t="shared" si="1"/>
        <v>1.4234835380893147</v>
      </c>
      <c r="J33" s="50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94</v>
      </c>
      <c r="C34" s="19">
        <f t="shared" si="1"/>
        <v>12.891126601906642</v>
      </c>
      <c r="D34" s="19">
        <f t="shared" si="1"/>
        <v>24.471237617306485</v>
      </c>
      <c r="E34" s="19">
        <f t="shared" si="1"/>
        <v>15.075222402973376</v>
      </c>
      <c r="F34" s="19">
        <f t="shared" si="1"/>
        <v>18.506797200358385</v>
      </c>
      <c r="G34" s="19">
        <f t="shared" si="1"/>
        <v>21.22534119783203</v>
      </c>
      <c r="H34" s="19">
        <f t="shared" si="1"/>
        <v>20.72718664816006</v>
      </c>
      <c r="I34" s="106">
        <f t="shared" si="1"/>
        <v>24.418880412763951</v>
      </c>
      <c r="J34" s="50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si="1"/>
        <v>3.3172243646133013</v>
      </c>
      <c r="D35" s="19">
        <f t="shared" si="1"/>
        <v>2.6562461527601027</v>
      </c>
      <c r="E35" s="19">
        <f t="shared" si="1"/>
        <v>2.0413462967732516</v>
      </c>
      <c r="F35" s="19">
        <f t="shared" si="1"/>
        <v>2.4043471535019805</v>
      </c>
      <c r="G35" s="19">
        <f t="shared" si="1"/>
        <v>1.9944425443339191</v>
      </c>
      <c r="H35" s="19">
        <f t="shared" si="1"/>
        <v>1.8396337890394989</v>
      </c>
      <c r="I35" s="106">
        <f t="shared" si="1"/>
        <v>1.6371785246548469</v>
      </c>
      <c r="J35" s="50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si="1"/>
        <v>4.8495318220946837</v>
      </c>
      <c r="D36" s="19">
        <f t="shared" si="1"/>
        <v>3.9561820325649277</v>
      </c>
      <c r="E36" s="19">
        <f t="shared" si="1"/>
        <v>3.0444068586383248</v>
      </c>
      <c r="F36" s="19">
        <f t="shared" si="1"/>
        <v>3.5498266552501274</v>
      </c>
      <c r="G36" s="19">
        <f t="shared" si="1"/>
        <v>3.6223465916822781</v>
      </c>
      <c r="H36" s="19">
        <f t="shared" si="1"/>
        <v>4.256101788355064</v>
      </c>
      <c r="I36" s="106">
        <f t="shared" si="1"/>
        <v>4.1927512289614972</v>
      </c>
      <c r="J36" s="50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si="1"/>
        <v>1.1586171425490794</v>
      </c>
      <c r="D37" s="19">
        <f t="shared" si="1"/>
        <v>0.99218409729700618</v>
      </c>
      <c r="E37" s="19">
        <f t="shared" si="1"/>
        <v>0.42400384454331042</v>
      </c>
      <c r="F37" s="19">
        <f t="shared" si="1"/>
        <v>0.63951288777060999</v>
      </c>
      <c r="G37" s="19">
        <f t="shared" si="1"/>
        <v>0.55649613523326313</v>
      </c>
      <c r="H37" s="19">
        <f t="shared" si="1"/>
        <v>0.61157551783377928</v>
      </c>
      <c r="I37" s="106">
        <f t="shared" si="1"/>
        <v>0.77762023996400498</v>
      </c>
      <c r="J37" s="50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si="1"/>
        <v>5.1047186953274233</v>
      </c>
      <c r="D38" s="19">
        <f t="shared" si="1"/>
        <v>4.0581546134402808</v>
      </c>
      <c r="E38" s="19">
        <f t="shared" si="1"/>
        <v>4.7786966001790798</v>
      </c>
      <c r="F38" s="19">
        <f t="shared" si="1"/>
        <v>4.4550883208550109</v>
      </c>
      <c r="G38" s="19">
        <f t="shared" si="1"/>
        <v>3.9656019641297782</v>
      </c>
      <c r="H38" s="19">
        <f t="shared" si="1"/>
        <v>4.4575551223669958</v>
      </c>
      <c r="I38" s="106">
        <f t="shared" si="1"/>
        <v>4.0823150427466617</v>
      </c>
      <c r="J38" s="50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si="1"/>
        <v>3.9738843751969073</v>
      </c>
      <c r="D39" s="19">
        <f t="shared" si="1"/>
        <v>3.2910322877210039</v>
      </c>
      <c r="E39" s="19">
        <f t="shared" si="1"/>
        <v>3.7788765304165466</v>
      </c>
      <c r="F39" s="19">
        <f t="shared" si="1"/>
        <v>3.6133137400264879</v>
      </c>
      <c r="G39" s="19">
        <f t="shared" si="1"/>
        <v>3.6288318671046107</v>
      </c>
      <c r="H39" s="19">
        <f t="shared" si="1"/>
        <v>3.7555290316526477</v>
      </c>
      <c r="I39" s="106">
        <f t="shared" si="1"/>
        <v>3.4407860531169341</v>
      </c>
      <c r="J39" s="50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95</v>
      </c>
      <c r="C40" s="19">
        <f t="shared" si="1"/>
        <v>9.1233233188073584</v>
      </c>
      <c r="D40" s="19">
        <f t="shared" si="1"/>
        <v>7.6633530045621274</v>
      </c>
      <c r="E40" s="19">
        <f t="shared" si="1"/>
        <v>8.6861807764322947</v>
      </c>
      <c r="F40" s="19">
        <f t="shared" si="1"/>
        <v>7.9390598715458642</v>
      </c>
      <c r="G40" s="19">
        <f t="shared" si="1"/>
        <v>7.9365242579198654</v>
      </c>
      <c r="H40" s="19">
        <f t="shared" si="1"/>
        <v>7.2440301038567174</v>
      </c>
      <c r="I40" s="106">
        <f t="shared" si="1"/>
        <v>7.1192049247421592</v>
      </c>
      <c r="J40" s="50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si="1"/>
        <v>9.694546741329621E-2</v>
      </c>
      <c r="D41" s="19">
        <f t="shared" si="1"/>
        <v>0.10083063835050869</v>
      </c>
      <c r="E41" s="19">
        <f t="shared" si="1"/>
        <v>0.12209798846380758</v>
      </c>
      <c r="F41" s="19">
        <f t="shared" si="1"/>
        <v>9.0354016124746278E-2</v>
      </c>
      <c r="G41" s="19">
        <f t="shared" si="1"/>
        <v>9.0729753420509637E-2</v>
      </c>
      <c r="H41" s="19">
        <f t="shared" si="1"/>
        <v>0.10520377778844195</v>
      </c>
      <c r="I41" s="106">
        <f t="shared" si="1"/>
        <v>8.2790230021471983E-2</v>
      </c>
      <c r="J41" s="50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si="1"/>
        <v>4.9044876671485152E-3</v>
      </c>
      <c r="D42" s="19">
        <f t="shared" si="1"/>
        <v>6.2400412066928226E-3</v>
      </c>
      <c r="E42" s="19">
        <f t="shared" si="1"/>
        <v>7.6403622404824E-3</v>
      </c>
      <c r="F42" s="19">
        <f t="shared" si="1"/>
        <v>6.4245792848443015E-3</v>
      </c>
      <c r="G42" s="19">
        <f t="shared" si="1"/>
        <v>8.5785009584573441E-3</v>
      </c>
      <c r="H42" s="19">
        <f t="shared" si="1"/>
        <v>1.1086544958168092E-2</v>
      </c>
      <c r="I42" s="106">
        <f t="shared" si="1"/>
        <v>8.2774816891227031E-3</v>
      </c>
      <c r="J42" s="50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si="1"/>
        <v>0.12187694892903972</v>
      </c>
      <c r="D43" s="19">
        <f t="shared" si="1"/>
        <v>8.1541885223075025E-2</v>
      </c>
      <c r="E43" s="19">
        <f t="shared" si="1"/>
        <v>7.7419812185079248E-2</v>
      </c>
      <c r="F43" s="19">
        <f t="shared" si="1"/>
        <v>7.6856215800401528E-2</v>
      </c>
      <c r="G43" s="19">
        <f t="shared" si="1"/>
        <v>8.4804557347814821E-2</v>
      </c>
      <c r="H43" s="19">
        <f t="shared" si="1"/>
        <v>9.290050091266687E-2</v>
      </c>
      <c r="I43" s="106">
        <f t="shared" si="1"/>
        <v>7.2892060479058635E-2</v>
      </c>
      <c r="J43" s="50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si="1"/>
        <v>1.3460334317015616</v>
      </c>
      <c r="D44" s="132">
        <f t="shared" si="1"/>
        <v>1.1885927368552587</v>
      </c>
      <c r="E44" s="132">
        <f t="shared" si="1"/>
        <v>1.1236423388978556</v>
      </c>
      <c r="F44" s="132">
        <f t="shared" si="1"/>
        <v>0.86523656483602773</v>
      </c>
      <c r="G44" s="132">
        <f t="shared" si="1"/>
        <v>0.91533794022753101</v>
      </c>
      <c r="H44" s="132">
        <f t="shared" si="1"/>
        <v>0.85540518888920725</v>
      </c>
      <c r="I44" s="117">
        <f t="shared" si="1"/>
        <v>0.8432319801791287</v>
      </c>
      <c r="J44" s="50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93</v>
      </c>
      <c r="C45" s="132">
        <f t="shared" si="1"/>
        <v>24.523502070580637</v>
      </c>
      <c r="D45" s="132">
        <f t="shared" si="1"/>
        <v>22.414976684929417</v>
      </c>
      <c r="E45" s="132">
        <f t="shared" si="1"/>
        <v>28.025480176847662</v>
      </c>
      <c r="F45" s="132">
        <f t="shared" si="1"/>
        <v>25.330534958761042</v>
      </c>
      <c r="G45" s="132">
        <f t="shared" si="1"/>
        <v>24.832444294536714</v>
      </c>
      <c r="H45" s="132">
        <f t="shared" si="1"/>
        <v>22.24213345759232</v>
      </c>
      <c r="I45" s="117">
        <f t="shared" si="1"/>
        <v>21.019180130118347</v>
      </c>
      <c r="J45" s="50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si="1"/>
        <v>95.834345449657789</v>
      </c>
      <c r="D46" s="144">
        <f t="shared" si="1"/>
        <v>96.533113351392345</v>
      </c>
      <c r="E46" s="144">
        <f t="shared" si="1"/>
        <v>97.327018828239176</v>
      </c>
      <c r="F46" s="144">
        <f t="shared" si="1"/>
        <v>97.169190912932578</v>
      </c>
      <c r="G46" s="144">
        <f t="shared" si="1"/>
        <v>97.035839645855077</v>
      </c>
      <c r="H46" s="144">
        <f t="shared" si="1"/>
        <v>96.834155576767984</v>
      </c>
      <c r="I46" s="129">
        <f t="shared" si="1"/>
        <v>97.054340728106354</v>
      </c>
      <c r="J46" s="93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8" si="2">IFERROR(C24/C$25*100,"")</f>
        <v>4.1656545503422073</v>
      </c>
      <c r="D47" s="132">
        <f t="shared" si="2"/>
        <v>3.4668866486076699</v>
      </c>
      <c r="E47" s="132">
        <f t="shared" si="2"/>
        <v>2.6318712784053075</v>
      </c>
      <c r="F47" s="132">
        <f t="shared" si="2"/>
        <v>2.794621421937229</v>
      </c>
      <c r="G47" s="132">
        <f t="shared" si="2"/>
        <v>2.9299476517387437</v>
      </c>
      <c r="H47" s="132">
        <f t="shared" si="2"/>
        <v>3.1312147080291592</v>
      </c>
      <c r="I47" s="117">
        <f t="shared" si="2"/>
        <v>2.8940424251342538</v>
      </c>
      <c r="J47" s="50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si="2"/>
        <v>100</v>
      </c>
      <c r="D48" s="144">
        <f t="shared" si="2"/>
        <v>100</v>
      </c>
      <c r="E48" s="144">
        <f t="shared" si="2"/>
        <v>100</v>
      </c>
      <c r="F48" s="144">
        <f t="shared" si="2"/>
        <v>100</v>
      </c>
      <c r="G48" s="144">
        <f t="shared" si="2"/>
        <v>100</v>
      </c>
      <c r="H48" s="144">
        <f t="shared" si="2"/>
        <v>100</v>
      </c>
      <c r="I48" s="129">
        <f t="shared" si="2"/>
        <v>100</v>
      </c>
      <c r="K48" s="50"/>
    </row>
    <row r="49" spans="1:11">
      <c r="A49" s="7"/>
      <c r="B49" s="32"/>
      <c r="C49" s="15"/>
      <c r="D49" s="15"/>
      <c r="E49" s="15"/>
      <c r="F49" s="15"/>
      <c r="G49" s="15"/>
    </row>
    <row r="50" spans="1:11" s="74" customFormat="1" ht="30.75" customHeight="1" thickBot="1">
      <c r="A50" s="190" t="s">
        <v>207</v>
      </c>
      <c r="B50" s="190"/>
      <c r="C50" s="190"/>
      <c r="D50" s="190"/>
      <c r="E50" s="190"/>
      <c r="F50" s="190"/>
      <c r="G50" s="190"/>
      <c r="H50" s="190"/>
      <c r="I50" s="190"/>
      <c r="J50" s="130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4.775810028515366</v>
      </c>
      <c r="E53" s="20">
        <f t="shared" ref="E53:I53" si="3">IFERROR(E7/D7*100-100,"")</f>
        <v>6.0628393759852202</v>
      </c>
      <c r="F53" s="20">
        <f t="shared" si="3"/>
        <v>10.075328640740054</v>
      </c>
      <c r="G53" s="20">
        <f t="shared" si="3"/>
        <v>-0.63660132682190351</v>
      </c>
      <c r="H53" s="19">
        <f t="shared" si="3"/>
        <v>3.3757815006454166</v>
      </c>
      <c r="I53" s="143">
        <f t="shared" si="3"/>
        <v>3.5582965482158926</v>
      </c>
    </row>
    <row r="54" spans="1:11" ht="32.25" customHeight="1">
      <c r="A54" s="56" t="s">
        <v>1</v>
      </c>
      <c r="B54" s="57" t="s">
        <v>31</v>
      </c>
      <c r="D54" s="20">
        <f t="shared" ref="D54:I69" si="4">IFERROR(D8/C8*100-100,"")</f>
        <v>131.77979194023078</v>
      </c>
      <c r="E54" s="20">
        <f t="shared" si="4"/>
        <v>-48.623523631149737</v>
      </c>
      <c r="F54" s="20">
        <f t="shared" si="4"/>
        <v>43.907741146270752</v>
      </c>
      <c r="G54" s="20">
        <f t="shared" si="4"/>
        <v>32.616543862197801</v>
      </c>
      <c r="H54" s="19">
        <f t="shared" si="4"/>
        <v>-6.9310771766734547</v>
      </c>
      <c r="I54" s="106">
        <f t="shared" si="4"/>
        <v>90.708689791369579</v>
      </c>
    </row>
    <row r="55" spans="1:11" ht="32.25" customHeight="1">
      <c r="A55" s="56" t="s">
        <v>2</v>
      </c>
      <c r="B55" s="57" t="s">
        <v>3</v>
      </c>
      <c r="D55" s="20">
        <f t="shared" si="4"/>
        <v>-6.6215327331188689</v>
      </c>
      <c r="E55" s="20">
        <f t="shared" si="4"/>
        <v>-21.269199886587515</v>
      </c>
      <c r="F55" s="20">
        <f t="shared" si="4"/>
        <v>-17.744650932953036</v>
      </c>
      <c r="G55" s="20">
        <f t="shared" si="4"/>
        <v>31.441435638438747</v>
      </c>
      <c r="H55" s="19">
        <f t="shared" si="4"/>
        <v>16.375510662117648</v>
      </c>
      <c r="I55" s="106">
        <f t="shared" si="4"/>
        <v>13.60003223273425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4"/>
        <v>3.615596352278132</v>
      </c>
      <c r="E56" s="20">
        <f t="shared" si="4"/>
        <v>9.1861661805969135</v>
      </c>
      <c r="F56" s="20">
        <f t="shared" si="4"/>
        <v>0.93797417419310136</v>
      </c>
      <c r="G56" s="20">
        <f t="shared" si="4"/>
        <v>8.5703813648312774</v>
      </c>
      <c r="H56" s="19">
        <f t="shared" si="4"/>
        <v>0.86531653693266719</v>
      </c>
      <c r="I56" s="106">
        <f t="shared" si="4"/>
        <v>-3.438842882459852</v>
      </c>
    </row>
    <row r="57" spans="1:11" ht="32.25" customHeight="1">
      <c r="A57" s="56" t="s">
        <v>4</v>
      </c>
      <c r="B57" s="57" t="s">
        <v>94</v>
      </c>
      <c r="D57" s="20">
        <f t="shared" si="4"/>
        <v>135.98138487793605</v>
      </c>
      <c r="E57" s="20">
        <f t="shared" si="4"/>
        <v>-47.637984337260441</v>
      </c>
      <c r="F57" s="20">
        <f t="shared" si="4"/>
        <v>37.732899031696377</v>
      </c>
      <c r="G57" s="20">
        <f t="shared" si="4"/>
        <v>25.797634111474039</v>
      </c>
      <c r="H57" s="19">
        <f t="shared" si="4"/>
        <v>-7.9540252645764724</v>
      </c>
      <c r="I57" s="106">
        <f t="shared" si="4"/>
        <v>35.195804943228154</v>
      </c>
    </row>
    <row r="58" spans="1:11" ht="32.25" customHeight="1">
      <c r="A58" s="56" t="s">
        <v>5</v>
      </c>
      <c r="B58" s="57" t="s">
        <v>54</v>
      </c>
      <c r="D58" s="20">
        <f t="shared" si="4"/>
        <v>-0.45804711244923624</v>
      </c>
      <c r="E58" s="20">
        <f t="shared" si="4"/>
        <v>-34.678382644172373</v>
      </c>
      <c r="F58" s="20">
        <f t="shared" si="4"/>
        <v>32.144970778389961</v>
      </c>
      <c r="G58" s="20">
        <f t="shared" si="4"/>
        <v>-9.0142425373270214</v>
      </c>
      <c r="H58" s="19">
        <f t="shared" si="4"/>
        <v>-13.058131168645474</v>
      </c>
      <c r="I58" s="106">
        <f t="shared" si="4"/>
        <v>2.1274498504854904</v>
      </c>
    </row>
    <row r="59" spans="1:11" ht="32.25" customHeight="1">
      <c r="A59" s="56" t="s">
        <v>6</v>
      </c>
      <c r="B59" s="57" t="s">
        <v>55</v>
      </c>
      <c r="D59" s="20">
        <f t="shared" si="4"/>
        <v>1.4119509605070419</v>
      </c>
      <c r="E59" s="20">
        <f t="shared" si="4"/>
        <v>-34.591379787579385</v>
      </c>
      <c r="F59" s="20">
        <f t="shared" si="4"/>
        <v>30.820138683258335</v>
      </c>
      <c r="G59" s="20">
        <f t="shared" si="4"/>
        <v>11.92624007918009</v>
      </c>
      <c r="H59" s="19">
        <f t="shared" si="4"/>
        <v>10.749334997518815</v>
      </c>
      <c r="I59" s="106">
        <f t="shared" si="4"/>
        <v>13.048528861856369</v>
      </c>
    </row>
    <row r="60" spans="1:11" ht="32.25" customHeight="1">
      <c r="A60" s="56" t="s">
        <v>7</v>
      </c>
      <c r="B60" s="57" t="s">
        <v>32</v>
      </c>
      <c r="D60" s="20">
        <f t="shared" si="4"/>
        <v>6.4547383818841269</v>
      </c>
      <c r="E60" s="20">
        <f t="shared" si="4"/>
        <v>-63.676633314633371</v>
      </c>
      <c r="F60" s="20">
        <f t="shared" si="4"/>
        <v>69.219207684408417</v>
      </c>
      <c r="G60" s="20">
        <f t="shared" si="4"/>
        <v>-4.5530817559961321</v>
      </c>
      <c r="H60" s="19">
        <f t="shared" si="4"/>
        <v>3.5874309291499031</v>
      </c>
      <c r="I60" s="106">
        <f t="shared" si="4"/>
        <v>45.913437980881895</v>
      </c>
    </row>
    <row r="61" spans="1:11" ht="32.25" customHeight="1">
      <c r="A61" s="56" t="s">
        <v>8</v>
      </c>
      <c r="B61" s="57" t="s">
        <v>56</v>
      </c>
      <c r="D61" s="20">
        <f t="shared" si="4"/>
        <v>-1.1743999727664942</v>
      </c>
      <c r="E61" s="20">
        <f t="shared" si="4"/>
        <v>8.9710015227282724E-2</v>
      </c>
      <c r="F61" s="20">
        <f t="shared" si="4"/>
        <v>4.5964659186541184</v>
      </c>
      <c r="G61" s="20">
        <f t="shared" si="4"/>
        <v>-2.3658247853398819</v>
      </c>
      <c r="H61" s="19">
        <f t="shared" si="4"/>
        <v>5.9514060621561669</v>
      </c>
      <c r="I61" s="106">
        <f t="shared" si="4"/>
        <v>5.096347049018263</v>
      </c>
    </row>
    <row r="62" spans="1:11" ht="32.25" customHeight="1">
      <c r="A62" s="56" t="s">
        <v>9</v>
      </c>
      <c r="B62" s="57" t="s">
        <v>57</v>
      </c>
      <c r="D62" s="20">
        <f t="shared" si="4"/>
        <v>2.9507705336172734</v>
      </c>
      <c r="E62" s="20">
        <f t="shared" si="4"/>
        <v>-2.4024037549214512</v>
      </c>
      <c r="F62" s="20">
        <f t="shared" si="4"/>
        <v>7.2786058738091981</v>
      </c>
      <c r="G62" s="20">
        <f t="shared" si="4"/>
        <v>10.156526531488836</v>
      </c>
      <c r="H62" s="19">
        <f t="shared" si="4"/>
        <v>-2.4508700989473056</v>
      </c>
      <c r="I62" s="106">
        <f t="shared" si="4"/>
        <v>5.1391282326124497</v>
      </c>
    </row>
    <row r="63" spans="1:11" ht="32.25" customHeight="1">
      <c r="A63" s="56" t="s">
        <v>70</v>
      </c>
      <c r="B63" s="57" t="s">
        <v>95</v>
      </c>
      <c r="D63" s="20">
        <f t="shared" si="4"/>
        <v>4.4187404825570127</v>
      </c>
      <c r="E63" s="20">
        <f t="shared" si="4"/>
        <v>-3.6573484861879706</v>
      </c>
      <c r="F63" s="20">
        <f t="shared" si="4"/>
        <v>2.5440259685140205</v>
      </c>
      <c r="G63" s="20">
        <f t="shared" si="4"/>
        <v>9.6504276726635254</v>
      </c>
      <c r="H63" s="19">
        <f t="shared" si="4"/>
        <v>-13.966216635540093</v>
      </c>
      <c r="I63" s="106">
        <f t="shared" si="4"/>
        <v>12.779216694742402</v>
      </c>
    </row>
    <row r="64" spans="1:11" ht="32.25" customHeight="1">
      <c r="A64" s="56" t="s">
        <v>10</v>
      </c>
      <c r="B64" s="57" t="s">
        <v>58</v>
      </c>
      <c r="D64" s="20">
        <f t="shared" si="4"/>
        <v>29.2937979267505</v>
      </c>
      <c r="E64" s="20">
        <f t="shared" si="4"/>
        <v>2.9258719340706989</v>
      </c>
      <c r="F64" s="20">
        <f t="shared" si="4"/>
        <v>-16.974958223515529</v>
      </c>
      <c r="G64" s="20">
        <f t="shared" si="4"/>
        <v>10.14158665029295</v>
      </c>
      <c r="H64" s="19">
        <f t="shared" si="4"/>
        <v>9.2951090784172123</v>
      </c>
      <c r="I64" s="106">
        <f t="shared" si="4"/>
        <v>-9.6921339655975203</v>
      </c>
    </row>
    <row r="65" spans="1:9" ht="32.25" customHeight="1">
      <c r="A65" s="56" t="s">
        <v>59</v>
      </c>
      <c r="B65" s="57" t="s">
        <v>60</v>
      </c>
      <c r="D65" s="20">
        <f t="shared" si="4"/>
        <v>58.163583354654122</v>
      </c>
      <c r="E65" s="20">
        <f t="shared" si="4"/>
        <v>4.0722764637692705</v>
      </c>
      <c r="F65" s="20">
        <f t="shared" si="4"/>
        <v>-5.6589090248305212</v>
      </c>
      <c r="G65" s="20">
        <f t="shared" si="4"/>
        <v>46.45890071808364</v>
      </c>
      <c r="H65" s="19">
        <f t="shared" si="4"/>
        <v>21.815889703763474</v>
      </c>
      <c r="I65" s="106">
        <f t="shared" si="4"/>
        <v>-14.319926112008702</v>
      </c>
    </row>
    <row r="66" spans="1:9" ht="32.25" customHeight="1">
      <c r="A66" s="56" t="s">
        <v>66</v>
      </c>
      <c r="B66" s="57" t="s">
        <v>67</v>
      </c>
      <c r="D66" s="20">
        <f t="shared" si="4"/>
        <v>-16.829012216435373</v>
      </c>
      <c r="E66" s="20">
        <f t="shared" si="4"/>
        <v>-19.298812036548057</v>
      </c>
      <c r="F66" s="20">
        <f t="shared" si="4"/>
        <v>11.377389472995134</v>
      </c>
      <c r="G66" s="20">
        <f t="shared" si="4"/>
        <v>21.02894665506399</v>
      </c>
      <c r="H66" s="19">
        <f t="shared" si="4"/>
        <v>3.2566396025782325</v>
      </c>
      <c r="I66" s="106">
        <f t="shared" si="4"/>
        <v>-9.959064762952579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4"/>
        <v>9.7715787647114212</v>
      </c>
      <c r="E67" s="23">
        <f t="shared" si="4"/>
        <v>-19.646724417975108</v>
      </c>
      <c r="F67" s="24">
        <f t="shared" si="4"/>
        <v>-13.607325266094378</v>
      </c>
      <c r="G67" s="24">
        <f t="shared" si="4"/>
        <v>16.036777306556033</v>
      </c>
      <c r="H67" s="132">
        <f t="shared" si="4"/>
        <v>-11.913462417366105</v>
      </c>
      <c r="I67" s="131">
        <f t="shared" si="4"/>
        <v>13.12354722560103</v>
      </c>
    </row>
    <row r="68" spans="1:9" ht="32.25" customHeight="1">
      <c r="A68" s="25"/>
      <c r="B68" s="78" t="s">
        <v>93</v>
      </c>
      <c r="C68" s="82"/>
      <c r="D68" s="24">
        <f t="shared" si="4"/>
        <v>13.623584760171383</v>
      </c>
      <c r="E68" s="24">
        <f t="shared" si="4"/>
        <v>6.2730961023162592</v>
      </c>
      <c r="F68" s="24">
        <f t="shared" si="4"/>
        <v>1.4054858528810712</v>
      </c>
      <c r="G68" s="24">
        <f t="shared" si="4"/>
        <v>7.5286435096602418</v>
      </c>
      <c r="H68" s="24">
        <f t="shared" si="4"/>
        <v>-15.574022922218205</v>
      </c>
      <c r="I68" s="117">
        <f t="shared" si="4"/>
        <v>8.4469034528803064</v>
      </c>
    </row>
    <row r="69" spans="1:9" ht="32.25" customHeight="1">
      <c r="A69" s="34"/>
      <c r="B69" s="79" t="s">
        <v>33</v>
      </c>
      <c r="C69" s="82"/>
      <c r="D69" s="33">
        <f t="shared" si="4"/>
        <v>25.218303972183435</v>
      </c>
      <c r="E69" s="33">
        <f t="shared" si="4"/>
        <v>-14.302989862694517</v>
      </c>
      <c r="F69" s="33">
        <f t="shared" si="4"/>
        <v>12.012197206287993</v>
      </c>
      <c r="G69" s="88">
        <f t="shared" si="4"/>
        <v>9.5349314079621763</v>
      </c>
      <c r="H69" s="88">
        <f t="shared" si="4"/>
        <v>-5.9377149722874663</v>
      </c>
      <c r="I69" s="129">
        <f t="shared" si="4"/>
        <v>15.017578561739754</v>
      </c>
    </row>
    <row r="70" spans="1:9" ht="32.25" customHeight="1">
      <c r="A70" s="21" t="s">
        <v>25</v>
      </c>
      <c r="B70" s="80" t="s">
        <v>34</v>
      </c>
      <c r="C70" s="82"/>
      <c r="D70" s="24">
        <f t="shared" ref="D70:I71" si="5">IFERROR(D24/C24*100-100,"")</f>
        <v>3.4591903821429781</v>
      </c>
      <c r="E70" s="24">
        <f t="shared" si="5"/>
        <v>-35.474175202976511</v>
      </c>
      <c r="F70" s="24">
        <f t="shared" si="5"/>
        <v>19.132015642256846</v>
      </c>
      <c r="G70" s="24">
        <f t="shared" si="5"/>
        <v>14.996847885135452</v>
      </c>
      <c r="H70" s="24">
        <f t="shared" si="5"/>
        <v>0.73307937620619157</v>
      </c>
      <c r="I70" s="117">
        <f t="shared" si="5"/>
        <v>6.0644565759210991</v>
      </c>
    </row>
    <row r="71" spans="1:9" ht="32.25" customHeight="1">
      <c r="A71" s="30"/>
      <c r="B71" s="81" t="s">
        <v>35</v>
      </c>
      <c r="C71" s="82"/>
      <c r="D71" s="31">
        <f t="shared" si="5"/>
        <v>24.311894466805768</v>
      </c>
      <c r="E71" s="31">
        <f t="shared" si="5"/>
        <v>-15.002028285082375</v>
      </c>
      <c r="F71" s="31">
        <f t="shared" si="5"/>
        <v>12.194134005471795</v>
      </c>
      <c r="G71" s="31">
        <f t="shared" si="5"/>
        <v>9.6854595215520476</v>
      </c>
      <c r="H71" s="31">
        <f t="shared" si="5"/>
        <v>-5.741804094777109</v>
      </c>
      <c r="I71" s="129">
        <f t="shared" si="5"/>
        <v>14.756640588721766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>
      <c r="A86" s="18"/>
      <c r="B86" s="101"/>
      <c r="C86" s="10"/>
      <c r="D86" s="101"/>
      <c r="E86" s="101"/>
    </row>
    <row r="87" spans="1:8">
      <c r="A87" s="18"/>
      <c r="B87" s="101"/>
      <c r="C87" s="101"/>
      <c r="D87" s="101"/>
      <c r="E87" s="101"/>
    </row>
    <row r="88" spans="1:8">
      <c r="A88" s="61"/>
      <c r="B88" s="101"/>
      <c r="C88" s="101"/>
      <c r="D88" s="101"/>
      <c r="E88" s="101"/>
    </row>
    <row r="89" spans="1:8">
      <c r="A89" s="64"/>
      <c r="B89" s="45"/>
      <c r="C89" s="45"/>
      <c r="D89" s="101"/>
      <c r="E89" s="101"/>
    </row>
    <row r="90" spans="1:8">
      <c r="A90" s="64"/>
      <c r="B90" s="45"/>
      <c r="C90" s="45"/>
      <c r="D90" s="101"/>
      <c r="E90" s="101"/>
    </row>
    <row r="91" spans="1:8">
      <c r="A91" s="64"/>
      <c r="B91" s="45"/>
      <c r="C91" s="45"/>
      <c r="D91" s="101"/>
      <c r="E91" s="101"/>
    </row>
    <row r="92" spans="1:8">
      <c r="A92" s="64"/>
      <c r="B92" s="45"/>
      <c r="C92" s="45"/>
      <c r="D92" s="101"/>
      <c r="E92" s="101"/>
    </row>
    <row r="93" spans="1:8">
      <c r="A93" s="64"/>
      <c r="B93" s="45"/>
      <c r="C93" s="45"/>
      <c r="D93" s="101"/>
      <c r="E93" s="101"/>
    </row>
    <row r="94" spans="1:8">
      <c r="A94" s="91"/>
      <c r="B94" s="101"/>
      <c r="C94" s="59"/>
      <c r="D94" s="101"/>
      <c r="E94" s="101"/>
    </row>
    <row r="95" spans="1:8">
      <c r="A95" s="7"/>
      <c r="B95" s="101"/>
      <c r="C95" s="18"/>
      <c r="D95" s="101"/>
      <c r="E95" s="101"/>
    </row>
    <row r="96" spans="1:8">
      <c r="B96" s="101"/>
      <c r="C96" s="18"/>
      <c r="D96" s="101"/>
      <c r="E96" s="101"/>
    </row>
    <row r="97" spans="1:5">
      <c r="B97" s="101"/>
      <c r="C97" s="18"/>
      <c r="D97" s="101"/>
      <c r="E97" s="101"/>
    </row>
    <row r="98" spans="1:5">
      <c r="B98" s="101"/>
      <c r="C98" s="18"/>
      <c r="D98" s="101"/>
      <c r="E98" s="101"/>
    </row>
    <row r="99" spans="1:5">
      <c r="A99" s="61"/>
      <c r="B99" s="101"/>
      <c r="C99" s="101"/>
      <c r="D99" s="101"/>
      <c r="E99" s="101"/>
    </row>
    <row r="100" spans="1:5">
      <c r="A100" s="61"/>
      <c r="B100" s="101"/>
      <c r="C100" s="101"/>
      <c r="D100" s="101"/>
      <c r="E100" s="101"/>
    </row>
  </sheetData>
  <mergeCells count="9">
    <mergeCell ref="A73:E73"/>
    <mergeCell ref="A5:A6"/>
    <mergeCell ref="A28:A29"/>
    <mergeCell ref="A51:A52"/>
    <mergeCell ref="B5:B6"/>
    <mergeCell ref="C5:I5"/>
    <mergeCell ref="B28:B29"/>
    <mergeCell ref="C28:I28"/>
    <mergeCell ref="B51:C52"/>
  </mergeCells>
  <hyperlinks>
    <hyperlink ref="K2" location="Índice!A1" display="Índice"/>
    <hyperlink ref="K3" location="'Cuadro 8-Los Santos'!A27" display="Composición "/>
    <hyperlink ref="K4" location="'Cuadro 8-Los Santos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5" max="8" man="1"/>
    <brk id="48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P2"/>
  <sheetViews>
    <sheetView zoomScaleNormal="10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57" orientation="portrait" r:id="rId1"/>
  <colBreaks count="1" manualBreakCount="1">
    <brk id="14" max="62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86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169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170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101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89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Toro'!C$6,DATOS!$B:$B,"B100101_08",DATOS!$G:$G,"0311",DATOS!$C:$C,"00")</f>
        <v>142.59469842054099</v>
      </c>
      <c r="D7" s="194">
        <f>SUMIFS(DATOS!$F:$F,DATOS!$D:$D,$A7,DATOS!$A:$A,'Cuadro 2-Bocas del Toro'!D$6,DATOS!$B:$B,"B100101_08",DATOS!$G:$G,"0311",DATOS!$C:$C,"00")</f>
        <v>137.3539401804918</v>
      </c>
      <c r="E7" s="194">
        <f>SUMIFS(DATOS!$F:$F,DATOS!$D:$D,$A7,DATOS!$A:$A,'Cuadro 2-Bocas del Toro'!E$6,DATOS!$B:$B,"B100101_08",DATOS!$G:$G,"0311",DATOS!$C:$C,"00")</f>
        <v>161.52213556084109</v>
      </c>
      <c r="F7" s="194">
        <f>SUMIFS(DATOS!$F:$F,DATOS!$D:$D,$A7,DATOS!$A:$A,'Cuadro 2-Bocas del Toro'!F$6,DATOS!$B:$B,"B100101_08",DATOS!$G:$G,"0311",DATOS!$C:$C,"00")</f>
        <v>157.71797654953133</v>
      </c>
      <c r="G7" s="194">
        <f>SUMIFS(DATOS!$F:$F,DATOS!$D:$D,$A7,DATOS!$A:$A,'Cuadro 2-Bocas del Toro'!G$6,DATOS!$B:$B,"B100101_08",DATOS!$G:$G,"0311",DATOS!$C:$C,"00")</f>
        <v>159.39451356876199</v>
      </c>
      <c r="H7" s="194">
        <f>SUMIFS(DATOS!$F:$F,DATOS!$D:$D,$A7,DATOS!$A:$A,'Cuadro 2-Bocas del Toro'!H$6,DATOS!$B:$B,"B100101_08",DATOS!$G:$G,"0311",DATOS!$C:$C,"00")</f>
        <v>153.75293028669495</v>
      </c>
      <c r="I7" s="195">
        <f>SUMIFS(DATOS!$F:$F,DATOS!$D:$D,$A7,DATOS!$A:$A,'Cuadro 2-Bocas del Toro'!I$6,DATOS!$B:$B,"B100101_08",DATOS!$G:$G,"0311",DATOS!$C:$C,"00")</f>
        <v>151.73211828130678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Toro'!C$6,DATOS!$B:$B,"B100101_08",DATOS!$G:$G,"0311",DATOS!$C:$C,"00")</f>
        <v>382.88549030185789</v>
      </c>
      <c r="D8" s="194">
        <f>SUMIFS(DATOS!$F:$F,DATOS!$D:$D,$A8,DATOS!$A:$A,'Cuadro 2-Bocas del Toro'!D$6,DATOS!$B:$B,"B100101_08",DATOS!$G:$G,"0311",DATOS!$C:$C,"00")</f>
        <v>389.21400342872761</v>
      </c>
      <c r="E8" s="194">
        <f>SUMIFS(DATOS!$F:$F,DATOS!$D:$D,$A8,DATOS!$A:$A,'Cuadro 2-Bocas del Toro'!E$6,DATOS!$B:$B,"B100101_08",DATOS!$G:$G,"0311",DATOS!$C:$C,"00")</f>
        <v>198.30639483335966</v>
      </c>
      <c r="F8" s="194">
        <f>SUMIFS(DATOS!$F:$F,DATOS!$D:$D,$A8,DATOS!$A:$A,'Cuadro 2-Bocas del Toro'!F$6,DATOS!$B:$B,"B100101_08",DATOS!$G:$G,"0311",DATOS!$C:$C,"00")</f>
        <v>243.98440723738943</v>
      </c>
      <c r="G8" s="194">
        <f>SUMIFS(DATOS!$F:$F,DATOS!$D:$D,$A8,DATOS!$A:$A,'Cuadro 2-Bocas del Toro'!G$6,DATOS!$B:$B,"B100101_08",DATOS!$G:$G,"0311",DATOS!$C:$C,"00")</f>
        <v>312.26296907800349</v>
      </c>
      <c r="H8" s="194">
        <f>SUMIFS(DATOS!$F:$F,DATOS!$D:$D,$A8,DATOS!$A:$A,'Cuadro 2-Bocas del Toro'!H$6,DATOS!$B:$B,"B100101_08",DATOS!$G:$G,"0311",DATOS!$C:$C,"00")</f>
        <v>380.05701829097961</v>
      </c>
      <c r="I8" s="195">
        <f>SUMIFS(DATOS!$F:$F,DATOS!$D:$D,$A8,DATOS!$A:$A,'Cuadro 2-Bocas del Toro'!I$6,DATOS!$B:$B,"B100101_08",DATOS!$G:$G,"0311",DATOS!$C:$C,"00")</f>
        <v>570.22063455153102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Toro'!C$6,DATOS!$B:$B,"B100101_08",DATOS!$G:$G,"0311",DATOS!$C:$C,"00")</f>
        <v>2359.1697111482886</v>
      </c>
      <c r="D9" s="194">
        <f>SUMIFS(DATOS!$F:$F,DATOS!$D:$D,$A9,DATOS!$A:$A,'Cuadro 2-Bocas del Toro'!D$6,DATOS!$B:$B,"B100101_08",DATOS!$G:$G,"0311",DATOS!$C:$C,"00")</f>
        <v>2415.073476336629</v>
      </c>
      <c r="E9" s="194">
        <f>SUMIFS(DATOS!$F:$F,DATOS!$D:$D,$A9,DATOS!$A:$A,'Cuadro 2-Bocas del Toro'!E$6,DATOS!$B:$B,"B100101_08",DATOS!$G:$G,"0311",DATOS!$C:$C,"00")</f>
        <v>1894.435228075884</v>
      </c>
      <c r="F9" s="194">
        <f>SUMIFS(DATOS!$F:$F,DATOS!$D:$D,$A9,DATOS!$A:$A,'Cuadro 2-Bocas del Toro'!F$6,DATOS!$B:$B,"B100101_08",DATOS!$G:$G,"0311",DATOS!$C:$C,"00")</f>
        <v>2092.5839247711424</v>
      </c>
      <c r="G9" s="194">
        <f>SUMIFS(DATOS!$F:$F,DATOS!$D:$D,$A9,DATOS!$A:$A,'Cuadro 2-Bocas del Toro'!G$6,DATOS!$B:$B,"B100101_08",DATOS!$G:$G,"0311",DATOS!$C:$C,"00")</f>
        <v>2234.1440486290162</v>
      </c>
      <c r="H9" s="194">
        <f>SUMIFS(DATOS!$F:$F,DATOS!$D:$D,$A9,DATOS!$A:$A,'Cuadro 2-Bocas del Toro'!H$6,DATOS!$B:$B,"B100101_08",DATOS!$G:$G,"0311",DATOS!$C:$C,"00")</f>
        <v>2299.3274701953305</v>
      </c>
      <c r="I9" s="195">
        <f>SUMIFS(DATOS!$F:$F,DATOS!$D:$D,$A9,DATOS!$A:$A,'Cuadro 2-Bocas del Toro'!I$6,DATOS!$B:$B,"B100101_08",DATOS!$G:$G,"0311",DATOS!$C:$C,"00")</f>
        <v>2336.8583892709839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Toro'!C$6,DATOS!$B:$B,"B100101_08",DATOS!$G:$G,"0311",DATOS!$C:$C,"00")</f>
        <v>457.31415603498272</v>
      </c>
      <c r="D10" s="194">
        <f>SUMIFS(DATOS!$F:$F,DATOS!$D:$D,$A10,DATOS!$A:$A,'Cuadro 2-Bocas del Toro'!D$6,DATOS!$B:$B,"B100101_08",DATOS!$G:$G,"0311",DATOS!$C:$C,"00")</f>
        <v>437.59095852155866</v>
      </c>
      <c r="E10" s="194">
        <f>SUMIFS(DATOS!$F:$F,DATOS!$D:$D,$A10,DATOS!$A:$A,'Cuadro 2-Bocas del Toro'!E$6,DATOS!$B:$B,"B100101_08",DATOS!$G:$G,"0311",DATOS!$C:$C,"00")</f>
        <v>448.75230259089591</v>
      </c>
      <c r="F10" s="194">
        <f>SUMIFS(DATOS!$F:$F,DATOS!$D:$D,$A10,DATOS!$A:$A,'Cuadro 2-Bocas del Toro'!F$6,DATOS!$B:$B,"B100101_08",DATOS!$G:$G,"0311",DATOS!$C:$C,"00")</f>
        <v>424.24043162660098</v>
      </c>
      <c r="G10" s="194">
        <f>SUMIFS(DATOS!$F:$F,DATOS!$D:$D,$A10,DATOS!$A:$A,'Cuadro 2-Bocas del Toro'!G$6,DATOS!$B:$B,"B100101_08",DATOS!$G:$G,"0311",DATOS!$C:$C,"00")</f>
        <v>441.12817075228008</v>
      </c>
      <c r="H10" s="194">
        <f>SUMIFS(DATOS!$F:$F,DATOS!$D:$D,$A10,DATOS!$A:$A,'Cuadro 2-Bocas del Toro'!H$6,DATOS!$B:$B,"B100101_08",DATOS!$G:$G,"0311",DATOS!$C:$C,"00")</f>
        <v>500.39258346985144</v>
      </c>
      <c r="I10" s="195">
        <f>SUMIFS(DATOS!$F:$F,DATOS!$D:$D,$A10,DATOS!$A:$A,'Cuadro 2-Bocas del Toro'!I$6,DATOS!$B:$B,"B100101_08",DATOS!$G:$G,"0311",DATOS!$C:$C,"00")</f>
        <v>542.88938321099249</v>
      </c>
    </row>
    <row r="11" spans="1:12" ht="32.25" customHeight="1">
      <c r="A11" s="56" t="s">
        <v>4</v>
      </c>
      <c r="B11" s="60" t="s">
        <v>94</v>
      </c>
      <c r="C11" s="194">
        <f>SUMIFS(DATOS!$F:$F,DATOS!$D:$D,$A11,DATOS!$A:$A,'Cuadro 2-Bocas del Toro'!C$6,DATOS!$B:$B,"B100101_08",DATOS!$G:$G,"0311",DATOS!$C:$C,"00")</f>
        <v>6502.9009471433292</v>
      </c>
      <c r="D11" s="194">
        <f>SUMIFS(DATOS!$F:$F,DATOS!$D:$D,$A11,DATOS!$A:$A,'Cuadro 2-Bocas del Toro'!D$6,DATOS!$B:$B,"B100101_08",DATOS!$G:$G,"0311",DATOS!$C:$C,"00")</f>
        <v>6475.7360950763159</v>
      </c>
      <c r="E11" s="194">
        <f>SUMIFS(DATOS!$F:$F,DATOS!$D:$D,$A11,DATOS!$A:$A,'Cuadro 2-Bocas del Toro'!E$6,DATOS!$B:$B,"B100101_08",DATOS!$G:$G,"0311",DATOS!$C:$C,"00")</f>
        <v>3340.9718055780118</v>
      </c>
      <c r="F11" s="194">
        <f>SUMIFS(DATOS!$F:$F,DATOS!$D:$D,$A11,DATOS!$A:$A,'Cuadro 2-Bocas del Toro'!F$6,DATOS!$B:$B,"B100101_08",DATOS!$G:$G,"0311",DATOS!$C:$C,"00")</f>
        <v>4298.7278917808717</v>
      </c>
      <c r="G11" s="194">
        <f>SUMIFS(DATOS!$F:$F,DATOS!$D:$D,$A11,DATOS!$A:$A,'Cuadro 2-Bocas del Toro'!G$6,DATOS!$B:$B,"B100101_08",DATOS!$G:$G,"0311",DATOS!$C:$C,"00")</f>
        <v>4482.7525762906025</v>
      </c>
      <c r="H11" s="194">
        <f>SUMIFS(DATOS!$F:$F,DATOS!$D:$D,$A11,DATOS!$A:$A,'Cuadro 2-Bocas del Toro'!H$6,DATOS!$B:$B,"B100101_08",DATOS!$G:$G,"0311",DATOS!$C:$C,"00")</f>
        <v>6299.5808614162306</v>
      </c>
      <c r="I11" s="195">
        <f>SUMIFS(DATOS!$F:$F,DATOS!$D:$D,$A11,DATOS!$A:$A,'Cuadro 2-Bocas del Toro'!I$6,DATOS!$B:$B,"B100101_08",DATOS!$G:$G,"0311",DATOS!$C:$C,"00")</f>
        <v>6283.9530141396417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Toro'!C$6,DATOS!$B:$B,"B100101_08",DATOS!$G:$G,"0311",DATOS!$C:$C,"00")</f>
        <v>7707.3456717953268</v>
      </c>
      <c r="D12" s="194">
        <f>SUMIFS(DATOS!$F:$F,DATOS!$D:$D,$A12,DATOS!$A:$A,'Cuadro 2-Bocas del Toro'!D$6,DATOS!$B:$B,"B100101_08",DATOS!$G:$G,"0311",DATOS!$C:$C,"00")</f>
        <v>7825.9393166467671</v>
      </c>
      <c r="E12" s="194">
        <f>SUMIFS(DATOS!$F:$F,DATOS!$D:$D,$A12,DATOS!$A:$A,'Cuadro 2-Bocas del Toro'!E$6,DATOS!$B:$B,"B100101_08",DATOS!$G:$G,"0311",DATOS!$C:$C,"00")</f>
        <v>6133.0195058765285</v>
      </c>
      <c r="F12" s="194">
        <f>SUMIFS(DATOS!$F:$F,DATOS!$D:$D,$A12,DATOS!$A:$A,'Cuadro 2-Bocas del Toro'!F$6,DATOS!$B:$B,"B100101_08",DATOS!$G:$G,"0311",DATOS!$C:$C,"00")</f>
        <v>8099.3433064319752</v>
      </c>
      <c r="G12" s="194">
        <f>SUMIFS(DATOS!$F:$F,DATOS!$D:$D,$A12,DATOS!$A:$A,'Cuadro 2-Bocas del Toro'!G$6,DATOS!$B:$B,"B100101_08",DATOS!$G:$G,"0311",DATOS!$C:$C,"00")</f>
        <v>9732.4092918562601</v>
      </c>
      <c r="H12" s="194">
        <f>SUMIFS(DATOS!$F:$F,DATOS!$D:$D,$A12,DATOS!$A:$A,'Cuadro 2-Bocas del Toro'!H$6,DATOS!$B:$B,"B100101_08",DATOS!$G:$G,"0311",DATOS!$C:$C,"00")</f>
        <v>10773.472240970063</v>
      </c>
      <c r="I12" s="195">
        <f>SUMIFS(DATOS!$F:$F,DATOS!$D:$D,$A12,DATOS!$A:$A,'Cuadro 2-Bocas del Toro'!I$6,DATOS!$B:$B,"B100101_08",DATOS!$G:$G,"0311",DATOS!$C:$C,"00")</f>
        <v>11391.149758055102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Toro'!C$6,DATOS!$B:$B,"B100101_08",DATOS!$G:$G,"0311",DATOS!$C:$C,"00")</f>
        <v>3874.1653040150395</v>
      </c>
      <c r="D13" s="194">
        <f>SUMIFS(DATOS!$F:$F,DATOS!$D:$D,$A13,DATOS!$A:$A,'Cuadro 2-Bocas del Toro'!D$6,DATOS!$B:$B,"B100101_08",DATOS!$G:$G,"0311",DATOS!$C:$C,"00")</f>
        <v>4107.389825965729</v>
      </c>
      <c r="E13" s="194">
        <f>SUMIFS(DATOS!$F:$F,DATOS!$D:$D,$A13,DATOS!$A:$A,'Cuadro 2-Bocas del Toro'!E$6,DATOS!$B:$B,"B100101_08",DATOS!$G:$G,"0311",DATOS!$C:$C,"00")</f>
        <v>2923.6313190578699</v>
      </c>
      <c r="F13" s="194">
        <f>SUMIFS(DATOS!$F:$F,DATOS!$D:$D,$A13,DATOS!$A:$A,'Cuadro 2-Bocas del Toro'!F$6,DATOS!$B:$B,"B100101_08",DATOS!$G:$G,"0311",DATOS!$C:$C,"00")</f>
        <v>3457.3368347353726</v>
      </c>
      <c r="G13" s="194">
        <f>SUMIFS(DATOS!$F:$F,DATOS!$D:$D,$A13,DATOS!$A:$A,'Cuadro 2-Bocas del Toro'!G$6,DATOS!$B:$B,"B100101_08",DATOS!$G:$G,"0311",DATOS!$C:$C,"00")</f>
        <v>4357.6547651013179</v>
      </c>
      <c r="H13" s="194">
        <f>SUMIFS(DATOS!$F:$F,DATOS!$D:$D,$A13,DATOS!$A:$A,'Cuadro 2-Bocas del Toro'!H$6,DATOS!$B:$B,"B100101_08",DATOS!$G:$G,"0311",DATOS!$C:$C,"00")</f>
        <v>4798.8288945039276</v>
      </c>
      <c r="I13" s="195">
        <f>SUMIFS(DATOS!$F:$F,DATOS!$D:$D,$A13,DATOS!$A:$A,'Cuadro 2-Bocas del Toro'!I$6,DATOS!$B:$B,"B100101_08",DATOS!$G:$G,"0311",DATOS!$C:$C,"00")</f>
        <v>5392.4901784717558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Toro'!C$6,DATOS!$B:$B,"B100101_08",DATOS!$G:$G,"0311",DATOS!$C:$C,"00")</f>
        <v>1640.9300546414129</v>
      </c>
      <c r="D14" s="194">
        <f>SUMIFS(DATOS!$F:$F,DATOS!$D:$D,$A14,DATOS!$A:$A,'Cuadro 2-Bocas del Toro'!D$6,DATOS!$B:$B,"B100101_08",DATOS!$G:$G,"0311",DATOS!$C:$C,"00")</f>
        <v>1690.8028489345777</v>
      </c>
      <c r="E14" s="194">
        <f>SUMIFS(DATOS!$F:$F,DATOS!$D:$D,$A14,DATOS!$A:$A,'Cuadro 2-Bocas del Toro'!E$6,DATOS!$B:$B,"B100101_08",DATOS!$G:$G,"0311",DATOS!$C:$C,"00")</f>
        <v>624.69371951663936</v>
      </c>
      <c r="F14" s="194">
        <f>SUMIFS(DATOS!$F:$F,DATOS!$D:$D,$A14,DATOS!$A:$A,'Cuadro 2-Bocas del Toro'!F$6,DATOS!$B:$B,"B100101_08",DATOS!$G:$G,"0311",DATOS!$C:$C,"00")</f>
        <v>807.56581624166211</v>
      </c>
      <c r="G14" s="194">
        <f>SUMIFS(DATOS!$F:$F,DATOS!$D:$D,$A14,DATOS!$A:$A,'Cuadro 2-Bocas del Toro'!G$6,DATOS!$B:$B,"B100101_08",DATOS!$G:$G,"0311",DATOS!$C:$C,"00")</f>
        <v>1046.5392186800789</v>
      </c>
      <c r="H14" s="194">
        <f>SUMIFS(DATOS!$F:$F,DATOS!$D:$D,$A14,DATOS!$A:$A,'Cuadro 2-Bocas del Toro'!H$6,DATOS!$B:$B,"B100101_08",DATOS!$G:$G,"0311",DATOS!$C:$C,"00")</f>
        <v>1146.0119921546695</v>
      </c>
      <c r="I14" s="195">
        <f>SUMIFS(DATOS!$F:$F,DATOS!$D:$D,$A14,DATOS!$A:$A,'Cuadro 2-Bocas del Toro'!I$6,DATOS!$B:$B,"B100101_08",DATOS!$G:$G,"0311",DATOS!$C:$C,"00")</f>
        <v>1230.7917910925207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Toro'!C$6,DATOS!$B:$B,"B100101_08",DATOS!$G:$G,"0311",DATOS!$C:$C,"00")</f>
        <v>612.31940951075308</v>
      </c>
      <c r="D15" s="194">
        <f>SUMIFS(DATOS!$F:$F,DATOS!$D:$D,$A15,DATOS!$A:$A,'Cuadro 2-Bocas del Toro'!D$6,DATOS!$B:$B,"B100101_08",DATOS!$G:$G,"0311",DATOS!$C:$C,"00")</f>
        <v>615.0373138383593</v>
      </c>
      <c r="E15" s="194">
        <f>SUMIFS(DATOS!$F:$F,DATOS!$D:$D,$A15,DATOS!$A:$A,'Cuadro 2-Bocas del Toro'!E$6,DATOS!$B:$B,"B100101_08",DATOS!$G:$G,"0311",DATOS!$C:$C,"00")</f>
        <v>628.22031074426957</v>
      </c>
      <c r="F15" s="194">
        <f>SUMIFS(DATOS!$F:$F,DATOS!$D:$D,$A15,DATOS!$A:$A,'Cuadro 2-Bocas del Toro'!F$6,DATOS!$B:$B,"B100101_08",DATOS!$G:$G,"0311",DATOS!$C:$C,"00")</f>
        <v>666.50190968668949</v>
      </c>
      <c r="G15" s="194">
        <f>SUMIFS(DATOS!$F:$F,DATOS!$D:$D,$A15,DATOS!$A:$A,'Cuadro 2-Bocas del Toro'!G$6,DATOS!$B:$B,"B100101_08",DATOS!$G:$G,"0311",DATOS!$C:$C,"00")</f>
        <v>655.30708451702208</v>
      </c>
      <c r="H15" s="194">
        <f>SUMIFS(DATOS!$F:$F,DATOS!$D:$D,$A15,DATOS!$A:$A,'Cuadro 2-Bocas del Toro'!H$6,DATOS!$B:$B,"B100101_08",DATOS!$G:$G,"0311",DATOS!$C:$C,"00")</f>
        <v>707.18480680272705</v>
      </c>
      <c r="I15" s="195">
        <f>SUMIFS(DATOS!$F:$F,DATOS!$D:$D,$A15,DATOS!$A:$A,'Cuadro 2-Bocas del Toro'!I$6,DATOS!$B:$B,"B100101_08",DATOS!$G:$G,"0311",DATOS!$C:$C,"00")</f>
        <v>745.56571971503649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Toro'!C$6,DATOS!$B:$B,"B100101_08",DATOS!$G:$G,"0311",DATOS!$C:$C,"00")</f>
        <v>3544.6708908323158</v>
      </c>
      <c r="D16" s="194">
        <f>SUMIFS(DATOS!$F:$F,DATOS!$D:$D,$A16,DATOS!$A:$A,'Cuadro 2-Bocas del Toro'!D$6,DATOS!$B:$B,"B100101_08",DATOS!$G:$G,"0311",DATOS!$C:$C,"00")</f>
        <v>3597.2969724658019</v>
      </c>
      <c r="E16" s="194">
        <f>SUMIFS(DATOS!$F:$F,DATOS!$D:$D,$A16,DATOS!$A:$A,'Cuadro 2-Bocas del Toro'!E$6,DATOS!$B:$B,"B100101_08",DATOS!$G:$G,"0311",DATOS!$C:$C,"00")</f>
        <v>3575.8774694342756</v>
      </c>
      <c r="F16" s="194">
        <f>SUMIFS(DATOS!$F:$F,DATOS!$D:$D,$A16,DATOS!$A:$A,'Cuadro 2-Bocas del Toro'!F$6,DATOS!$B:$B,"B100101_08",DATOS!$G:$G,"0311",DATOS!$C:$C,"00")</f>
        <v>3781.521323455866</v>
      </c>
      <c r="G16" s="194">
        <f>SUMIFS(DATOS!$F:$F,DATOS!$D:$D,$A16,DATOS!$A:$A,'Cuadro 2-Bocas del Toro'!G$6,DATOS!$B:$B,"B100101_08",DATOS!$G:$G,"0311",DATOS!$C:$C,"00")</f>
        <v>3862.0774146792419</v>
      </c>
      <c r="H16" s="194">
        <f>SUMIFS(DATOS!$F:$F,DATOS!$D:$D,$A16,DATOS!$A:$A,'Cuadro 2-Bocas del Toro'!H$6,DATOS!$B:$B,"B100101_08",DATOS!$G:$G,"0311",DATOS!$C:$C,"00")</f>
        <v>3909.1054989262279</v>
      </c>
      <c r="I16" s="195">
        <f>SUMIFS(DATOS!$F:$F,DATOS!$D:$D,$A16,DATOS!$A:$A,'Cuadro 2-Bocas del Toro'!I$6,DATOS!$B:$B,"B100101_08",DATOS!$G:$G,"0311",DATOS!$C:$C,"00")</f>
        <v>4069.5444866456091</v>
      </c>
    </row>
    <row r="17" spans="1:16" ht="32.25" customHeight="1">
      <c r="A17" s="56" t="s">
        <v>70</v>
      </c>
      <c r="B17" s="60" t="s">
        <v>95</v>
      </c>
      <c r="C17" s="194">
        <f>SUMIFS(DATOS!$F:$F,DATOS!$D:$D,$A17,DATOS!$A:$A,'Cuadro 2-Bocas del Toro'!C$6,DATOS!$B:$B,"B100101_08",DATOS!$G:$G,"0311",DATOS!$C:$C,"00")</f>
        <v>7228.3493315843361</v>
      </c>
      <c r="D17" s="194">
        <f>SUMIFS(DATOS!$F:$F,DATOS!$D:$D,$A17,DATOS!$A:$A,'Cuadro 2-Bocas del Toro'!D$6,DATOS!$B:$B,"B100101_08",DATOS!$G:$G,"0311",DATOS!$C:$C,"00")</f>
        <v>7430.9585687902672</v>
      </c>
      <c r="E17" s="194">
        <f>SUMIFS(DATOS!$F:$F,DATOS!$D:$D,$A17,DATOS!$A:$A,'Cuadro 2-Bocas del Toro'!E$6,DATOS!$B:$B,"B100101_08",DATOS!$G:$G,"0311",DATOS!$C:$C,"00")</f>
        <v>7087.7271937111691</v>
      </c>
      <c r="F17" s="194">
        <f>SUMIFS(DATOS!$F:$F,DATOS!$D:$D,$A17,DATOS!$A:$A,'Cuadro 2-Bocas del Toro'!F$6,DATOS!$B:$B,"B100101_08",DATOS!$G:$G,"0311",DATOS!$C:$C,"00")</f>
        <v>7725.3483054850531</v>
      </c>
      <c r="G17" s="194">
        <f>SUMIFS(DATOS!$F:$F,DATOS!$D:$D,$A17,DATOS!$A:$A,'Cuadro 2-Bocas del Toro'!G$6,DATOS!$B:$B,"B100101_08",DATOS!$G:$G,"0311",DATOS!$C:$C,"00")</f>
        <v>8229.3577089928549</v>
      </c>
      <c r="H17" s="194">
        <f>SUMIFS(DATOS!$F:$F,DATOS!$D:$D,$A17,DATOS!$A:$A,'Cuadro 2-Bocas del Toro'!H$6,DATOS!$B:$B,"B100101_08",DATOS!$G:$G,"0311",DATOS!$C:$C,"00")</f>
        <v>8689.3359324763369</v>
      </c>
      <c r="I17" s="195">
        <f>SUMIFS(DATOS!$F:$F,DATOS!$D:$D,$A17,DATOS!$A:$A,'Cuadro 2-Bocas del Toro'!I$6,DATOS!$B:$B,"B100101_08",DATOS!$G:$G,"0311",DATOS!$C:$C,"00")</f>
        <v>9106.6189305681401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Toro'!C$6,DATOS!$B:$B,"B100101_08",DATOS!$G:$G,"0311",DATOS!$C:$C,"00")</f>
        <v>558.64818850548158</v>
      </c>
      <c r="D18" s="194">
        <f>SUMIFS(DATOS!$F:$F,DATOS!$D:$D,$A18,DATOS!$A:$A,'Cuadro 2-Bocas del Toro'!D$6,DATOS!$B:$B,"B100101_08",DATOS!$G:$G,"0311",DATOS!$C:$C,"00")</f>
        <v>585.09607331688665</v>
      </c>
      <c r="E18" s="194">
        <f>SUMIFS(DATOS!$F:$F,DATOS!$D:$D,$A18,DATOS!$A:$A,'Cuadro 2-Bocas del Toro'!E$6,DATOS!$B:$B,"B100101_08",DATOS!$G:$G,"0311",DATOS!$C:$C,"00")</f>
        <v>541.68313432978437</v>
      </c>
      <c r="F18" s="194">
        <f>SUMIFS(DATOS!$F:$F,DATOS!$D:$D,$A18,DATOS!$A:$A,'Cuadro 2-Bocas del Toro'!F$6,DATOS!$B:$B,"B100101_08",DATOS!$G:$G,"0311",DATOS!$C:$C,"00")</f>
        <v>539.41581219561044</v>
      </c>
      <c r="G18" s="194">
        <f>SUMIFS(DATOS!$F:$F,DATOS!$D:$D,$A18,DATOS!$A:$A,'Cuadro 2-Bocas del Toro'!G$6,DATOS!$B:$B,"B100101_08",DATOS!$G:$G,"0311",DATOS!$C:$C,"00")</f>
        <v>610.17101603398805</v>
      </c>
      <c r="H18" s="194">
        <f>SUMIFS(DATOS!$F:$F,DATOS!$D:$D,$A18,DATOS!$A:$A,'Cuadro 2-Bocas del Toro'!H$6,DATOS!$B:$B,"B100101_08",DATOS!$G:$G,"0311",DATOS!$C:$C,"00")</f>
        <v>668.32600160174741</v>
      </c>
      <c r="I18" s="195">
        <f>SUMIFS(DATOS!$F:$F,DATOS!$D:$D,$A18,DATOS!$A:$A,'Cuadro 2-Bocas del Toro'!I$6,DATOS!$B:$B,"B100101_08",DATOS!$G:$G,"0311",DATOS!$C:$C,"00")</f>
        <v>704.80460620966244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Toro'!C$6,DATOS!$B:$B,"B100101_08",DATOS!$G:$G,"0311",DATOS!$C:$C,"00")</f>
        <v>596.70306169541357</v>
      </c>
      <c r="D19" s="194">
        <f>SUMIFS(DATOS!$F:$F,DATOS!$D:$D,$A19,DATOS!$A:$A,'Cuadro 2-Bocas del Toro'!D$6,DATOS!$B:$B,"B100101_08",DATOS!$G:$G,"0311",DATOS!$C:$C,"00")</f>
        <v>616.35491459282366</v>
      </c>
      <c r="E19" s="194">
        <f>SUMIFS(DATOS!$F:$F,DATOS!$D:$D,$A19,DATOS!$A:$A,'Cuadro 2-Bocas del Toro'!E$6,DATOS!$B:$B,"B100101_08",DATOS!$G:$G,"0311",DATOS!$C:$C,"00")</f>
        <v>668.48234328635965</v>
      </c>
      <c r="F19" s="194">
        <f>SUMIFS(DATOS!$F:$F,DATOS!$D:$D,$A19,DATOS!$A:$A,'Cuadro 2-Bocas del Toro'!F$6,DATOS!$B:$B,"B100101_08",DATOS!$G:$G,"0311",DATOS!$C:$C,"00")</f>
        <v>665.39268379254031</v>
      </c>
      <c r="G19" s="194">
        <f>SUMIFS(DATOS!$F:$F,DATOS!$D:$D,$A19,DATOS!$A:$A,'Cuadro 2-Bocas del Toro'!G$6,DATOS!$B:$B,"B100101_08",DATOS!$G:$G,"0311",DATOS!$C:$C,"00")</f>
        <v>700.90726226151412</v>
      </c>
      <c r="H19" s="194">
        <f>SUMIFS(DATOS!$F:$F,DATOS!$D:$D,$A19,DATOS!$A:$A,'Cuadro 2-Bocas del Toro'!H$6,DATOS!$B:$B,"B100101_08",DATOS!$G:$G,"0311",DATOS!$C:$C,"00")</f>
        <v>700.7171072560044</v>
      </c>
      <c r="I19" s="195">
        <f>SUMIFS(DATOS!$F:$F,DATOS!$D:$D,$A19,DATOS!$A:$A,'Cuadro 2-Bocas del Toro'!I$6,DATOS!$B:$B,"B100101_08",DATOS!$G:$G,"0311",DATOS!$C:$C,"00")</f>
        <v>726.6751328924621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Toro'!C$6,DATOS!$B:$B,"B100101_08",DATOS!$G:$G,"0311",DATOS!$C:$C,"00")</f>
        <v>811.56856424160208</v>
      </c>
      <c r="D20" s="194">
        <f>SUMIFS(DATOS!$F:$F,DATOS!$D:$D,$A20,DATOS!$A:$A,'Cuadro 2-Bocas del Toro'!D$6,DATOS!$B:$B,"B100101_08",DATOS!$G:$G,"0311",DATOS!$C:$C,"00")</f>
        <v>814.51205933228493</v>
      </c>
      <c r="E20" s="194">
        <f>SUMIFS(DATOS!$F:$F,DATOS!$D:$D,$A20,DATOS!$A:$A,'Cuadro 2-Bocas del Toro'!E$6,DATOS!$B:$B,"B100101_08",DATOS!$G:$G,"0311",DATOS!$C:$C,"00")</f>
        <v>437.02161639860185</v>
      </c>
      <c r="F20" s="194">
        <f>SUMIFS(DATOS!$F:$F,DATOS!$D:$D,$A20,DATOS!$A:$A,'Cuadro 2-Bocas del Toro'!F$6,DATOS!$B:$B,"B100101_08",DATOS!$G:$G,"0311",DATOS!$C:$C,"00")</f>
        <v>604.07640278152689</v>
      </c>
      <c r="G20" s="194">
        <f>SUMIFS(DATOS!$F:$F,DATOS!$D:$D,$A20,DATOS!$A:$A,'Cuadro 2-Bocas del Toro'!G$6,DATOS!$B:$B,"B100101_08",DATOS!$G:$G,"0311",DATOS!$C:$C,"00")</f>
        <v>759.10667265500365</v>
      </c>
      <c r="H20" s="194">
        <f>SUMIFS(DATOS!$F:$F,DATOS!$D:$D,$A20,DATOS!$A:$A,'Cuadro 2-Bocas del Toro'!H$6,DATOS!$B:$B,"B100101_08",DATOS!$G:$G,"0311",DATOS!$C:$C,"00")</f>
        <v>831.52289770836023</v>
      </c>
      <c r="I20" s="195">
        <f>SUMIFS(DATOS!$F:$F,DATOS!$D:$D,$A20,DATOS!$A:$A,'Cuadro 2-Bocas del Toro'!I$6,DATOS!$B:$B,"B100101_08",DATOS!$G:$G,"0311",DATOS!$C:$C,"00")</f>
        <v>901.29897408699878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Toro'!C$6,DATOS!$B:$B,"B100101_08",DATOS!$G:$G,"0311",DATOS!$C:$C,"00")</f>
        <v>140.71325343219948</v>
      </c>
      <c r="D21" s="196">
        <f>SUMIFS(DATOS!$F:$F,DATOS!$D:$D,$A21,DATOS!$A:$A,'Cuadro 2-Bocas del Toro'!D$6,DATOS!$B:$B,"B100101_08",DATOS!$G:$G,"0311",DATOS!$C:$C,"00")</f>
        <v>135.81190139381798</v>
      </c>
      <c r="E21" s="196">
        <f>SUMIFS(DATOS!$F:$F,DATOS!$D:$D,$A21,DATOS!$A:$A,'Cuadro 2-Bocas del Toro'!E$6,DATOS!$B:$B,"B100101_08",DATOS!$G:$G,"0311",DATOS!$C:$C,"00")</f>
        <v>109.12931140016249</v>
      </c>
      <c r="F21" s="196">
        <f>SUMIFS(DATOS!$F:$F,DATOS!$D:$D,$A21,DATOS!$A:$A,'Cuadro 2-Bocas del Toro'!F$6,DATOS!$B:$B,"B100101_08",DATOS!$G:$G,"0311",DATOS!$C:$C,"00")</f>
        <v>109.65564874251504</v>
      </c>
      <c r="G21" s="196">
        <f>SUMIFS(DATOS!$F:$F,DATOS!$D:$D,$A21,DATOS!$A:$A,'Cuadro 2-Bocas del Toro'!G$6,DATOS!$B:$B,"B100101_08",DATOS!$G:$G,"0311",DATOS!$C:$C,"00")</f>
        <v>129.21117387411741</v>
      </c>
      <c r="H21" s="197">
        <f>SUMIFS(DATOS!$F:$F,DATOS!$D:$D,$A21,DATOS!$A:$A,'Cuadro 2-Bocas del Toro'!H$6,DATOS!$B:$B,"B100101_08",DATOS!$G:$G,"0311",DATOS!$C:$C,"00")</f>
        <v>153.231452957708</v>
      </c>
      <c r="I21" s="198">
        <f>SUMIFS(DATOS!$F:$F,DATOS!$D:$D,$A21,DATOS!$A:$A,'Cuadro 2-Bocas del Toro'!I$6,DATOS!$B:$B,"B100101_08",DATOS!$G:$G,"0311",DATOS!$C:$C,"00")</f>
        <v>139.40513273766032</v>
      </c>
    </row>
    <row r="22" spans="1:16" ht="32.25" customHeight="1">
      <c r="A22" s="25"/>
      <c r="B22" s="22" t="s">
        <v>93</v>
      </c>
      <c r="C22" s="196">
        <f>SUMIFS(DATOS!$F:$F,DATOS!$D:$D,"GOB",DATOS!$A:$A,'Cuadro 2-Bocas del Toro'!C$6,DATOS!$B:$B,"B100103_08",DATOS!$G:$G,"0311",DATOS!$C:$C,"00")</f>
        <v>2380.7674636320658</v>
      </c>
      <c r="D22" s="196">
        <f>SUMIFS(DATOS!$F:$F,DATOS!$D:$D,"GOB",DATOS!$A:$A,'Cuadro 2-Bocas del Toro'!D$6,DATOS!$B:$B,"B100103_08",DATOS!$G:$G,"0311",DATOS!$C:$C,"00")</f>
        <v>2476.6044251972739</v>
      </c>
      <c r="E22" s="196">
        <f>SUMIFS(DATOS!$F:$F,DATOS!$D:$D,"GOB",DATOS!$A:$A,'Cuadro 2-Bocas del Toro'!E$6,DATOS!$B:$B,"B100103_08",DATOS!$G:$G,"0311",DATOS!$C:$C,"00")</f>
        <v>2743.3980255711904</v>
      </c>
      <c r="F22" s="196">
        <f>SUMIFS(DATOS!$F:$F,DATOS!$D:$D,"GOB",DATOS!$A:$A,'Cuadro 2-Bocas del Toro'!F$6,DATOS!$B:$B,"B100103_08",DATOS!$G:$G,"0311",DATOS!$C:$C,"00")</f>
        <v>2903.1769757966222</v>
      </c>
      <c r="G22" s="196">
        <f>SUMIFS(DATOS!$F:$F,DATOS!$D:$D,"GOB",DATOS!$A:$A,'Cuadro 2-Bocas del Toro'!G$6,DATOS!$B:$B,"B100103_08",DATOS!$G:$G,"0311",DATOS!$C:$C,"00")</f>
        <v>2930.3980036240332</v>
      </c>
      <c r="H22" s="197">
        <f>SUMIFS(DATOS!$F:$F,DATOS!$D:$D,"GOB",DATOS!$A:$A,'Cuadro 2-Bocas del Toro'!H$6,DATOS!$B:$B,"B100103_08",DATOS!$G:$G,"0311",DATOS!$C:$C,"00")</f>
        <v>3018.6842359726602</v>
      </c>
      <c r="I22" s="198">
        <f>SUMIFS(DATOS!$F:$F,DATOS!$D:$D,"GOB",DATOS!$A:$A,'Cuadro 2-Bocas del Toro'!I$6,DATOS!$B:$B,"B100103_08",DATOS!$G:$G,"0311",DATOS!$C:$C,"00")</f>
        <v>3057.9124172404804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Toro'!C$6,DATOS!$B:$B,"VAB_08",DATOS!$G:$G,"0311",DATOS!$C:$C,"00")</f>
        <v>38941.046196934949</v>
      </c>
      <c r="D23" s="199">
        <f>SUMIFS(DATOS!$F:$F,DATOS!$D:$D,"VAB",DATOS!$A:$A,'Cuadro 2-Bocas del Toro'!D$6,DATOS!$B:$B,"VAB_08",DATOS!$G:$G,"0311",DATOS!$C:$C,"00")</f>
        <v>39750.772694018313</v>
      </c>
      <c r="E23" s="199">
        <f>SUMIFS(DATOS!$F:$F,DATOS!$D:$D,"VAB",DATOS!$A:$A,'Cuadro 2-Bocas del Toro'!E$6,DATOS!$B:$B,"VAB_08",DATOS!$G:$G,"0311",DATOS!$C:$C,"00")</f>
        <v>31505.236678499274</v>
      </c>
      <c r="F23" s="199">
        <f>SUMIFS(DATOS!$F:$F,DATOS!$D:$D,"VAB",DATOS!$A:$A,'Cuadro 2-Bocas del Toro'!F$6,DATOS!$B:$B,"VAB_08",DATOS!$G:$G,"0311",DATOS!$C:$C,"00")</f>
        <v>36582.548268134706</v>
      </c>
      <c r="G23" s="199">
        <f>SUMIFS(DATOS!$F:$F,DATOS!$D:$D,"VAB",DATOS!$A:$A,'Cuadro 2-Bocas del Toro'!G$6,DATOS!$B:$B,"VAB_08",DATOS!$G:$G,"0311",DATOS!$C:$C,"00")</f>
        <v>40601.541902171353</v>
      </c>
      <c r="H23" s="200">
        <f>SUMIFS(DATOS!$F:$F,DATOS!$D:$D,"VAB",DATOS!$A:$A,'Cuadro 2-Bocas del Toro'!H$6,DATOS!$B:$B,"VAB_08",DATOS!$G:$G,"0311",DATOS!$C:$C,"00")</f>
        <v>45151.956339308737</v>
      </c>
      <c r="I23" s="201">
        <f>SUMIFS(DATOS!$F:$F,DATOS!$D:$D,"VAB",DATOS!$A:$A,'Cuadro 2-Bocas del Toro'!I$6,DATOS!$B:$B,"VAB_08",DATOS!$G:$G,"0311",DATOS!$C:$C,"00")</f>
        <v>47424.94649794318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Toro'!C$6,DATOS!$B:$B,"IMP_08",DATOS!$G:$G,"0311",DATOS!$C:$C,"00")</f>
        <v>1351.8215083260832</v>
      </c>
      <c r="D24" s="196">
        <f>SUMIFS(DATOS!$F:$F,DATOS!$D:$D,"IMP",DATOS!$A:$A,'Cuadro 2-Bocas del Toro'!D$6,DATOS!$B:$B,"IMP_08",DATOS!$G:$G,"0311",DATOS!$C:$C,"00")</f>
        <v>1326.1917643850466</v>
      </c>
      <c r="E24" s="196">
        <f>SUMIFS(DATOS!$F:$F,DATOS!$D:$D,"IMP",DATOS!$A:$A,'Cuadro 2-Bocas del Toro'!E$6,DATOS!$B:$B,"IMP_08",DATOS!$G:$G,"0311",DATOS!$C:$C,"00")</f>
        <v>844.55885943940461</v>
      </c>
      <c r="F24" s="196">
        <f>SUMIFS(DATOS!$F:$F,DATOS!$D:$D,"IMP",DATOS!$A:$A,'Cuadro 2-Bocas del Toro'!F$6,DATOS!$B:$B,"IMP_08",DATOS!$G:$G,"0311",DATOS!$C:$C,"00")</f>
        <v>1028.914607372255</v>
      </c>
      <c r="G24" s="196">
        <f>SUMIFS(DATOS!$F:$F,DATOS!$D:$D,"IMP",DATOS!$A:$A,'Cuadro 2-Bocas del Toro'!G$6,DATOS!$B:$B,"IMP_08",DATOS!$G:$G,"0311",DATOS!$C:$C,"00")</f>
        <v>1194.9187461446718</v>
      </c>
      <c r="H24" s="197">
        <f>SUMIFS(DATOS!$F:$F,DATOS!$D:$D,"IMP",DATOS!$A:$A,'Cuadro 2-Bocas del Toro'!H$6,DATOS!$B:$B,"IMP_08",DATOS!$G:$G,"0311",DATOS!$C:$C,"00")</f>
        <v>1276.1174171586283</v>
      </c>
      <c r="I24" s="198">
        <f>SUMIFS(DATOS!$F:$F,DATOS!$D:$D,"IMP",DATOS!$A:$A,'Cuadro 2-Bocas del Toro'!I$6,DATOS!$B:$B,"IMP_08",DATOS!$G:$G,"0311",DATOS!$C:$C,"00")</f>
        <v>1320.5746416109623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Toro'!C$6,DATOS!$B:$B,"PIB_08",DATOS!$G:$G,"0311",DATOS!$C:$C,"00")</f>
        <v>40292.867705261029</v>
      </c>
      <c r="D25" s="199">
        <f>SUMIFS(DATOS!$F:$F,DATOS!$D:$D,"PIB",DATOS!$A:$A,'Cuadro 2-Bocas del Toro'!D$6,DATOS!$B:$B,"PIB_08",DATOS!$G:$G,"0311",DATOS!$C:$C,"00")</f>
        <v>41076.964458403367</v>
      </c>
      <c r="E25" s="199">
        <f>SUMIFS(DATOS!$F:$F,DATOS!$D:$D,"PIB",DATOS!$A:$A,'Cuadro 2-Bocas del Toro'!E$6,DATOS!$B:$B,"PIB_08",DATOS!$G:$G,"0311",DATOS!$C:$C,"00")</f>
        <v>32358.685560287253</v>
      </c>
      <c r="F25" s="199">
        <f>SUMIFS(DATOS!$F:$F,DATOS!$D:$D,"PIB",DATOS!$A:$A,'Cuadro 2-Bocas del Toro'!F$6,DATOS!$B:$B,"PIB_08",DATOS!$G:$G,"0311",DATOS!$C:$C,"00")</f>
        <v>37620.691377709096</v>
      </c>
      <c r="G25" s="199">
        <f>SUMIFS(DATOS!$F:$F,DATOS!$D:$D,"PIB",DATOS!$A:$A,'Cuadro 2-Bocas del Toro'!G$6,DATOS!$B:$B,"PIB_08",DATOS!$G:$G,"0311",DATOS!$C:$C,"00")</f>
        <v>41806.893363845236</v>
      </c>
      <c r="H25" s="200">
        <f>SUMIFS(DATOS!$F:$F,DATOS!$D:$D,"PIB",DATOS!$A:$A,'Cuadro 2-Bocas del Toro'!H$6,DATOS!$B:$B,"PIB_08",DATOS!$G:$G,"0311",DATOS!$C:$C,"00")</f>
        <v>46439.115186568888</v>
      </c>
      <c r="I25" s="201">
        <f>SUMIFS(DATOS!$F:$F,DATOS!$D:$D,"PIB",DATOS!$A:$A,'Cuadro 2-Bocas del Toro'!I$6,DATOS!$B:$B,"PIB_08",DATOS!$G:$G,"0311",DATOS!$C:$C,"00")</f>
        <v>48758.348309249363</v>
      </c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0.45" customHeight="1" thickBot="1">
      <c r="A27" s="192" t="s">
        <v>208</v>
      </c>
      <c r="B27" s="192"/>
      <c r="C27" s="192"/>
      <c r="D27" s="192"/>
      <c r="E27" s="192"/>
      <c r="F27" s="192"/>
      <c r="G27" s="192"/>
      <c r="H27" s="192"/>
      <c r="I27" s="192"/>
      <c r="J27" s="90"/>
      <c r="K27" s="75"/>
    </row>
    <row r="28" spans="1:16" ht="32.1" customHeight="1" thickTop="1">
      <c r="A28" s="217" t="s">
        <v>29</v>
      </c>
      <c r="B28" s="217" t="s">
        <v>30</v>
      </c>
      <c r="C28" s="217" t="s">
        <v>339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0.35389563101740323</v>
      </c>
      <c r="D30" s="19">
        <f t="shared" ref="D30:I30" si="0">IFERROR(D7/D$25*100,"")</f>
        <v>0.33438191451460203</v>
      </c>
      <c r="E30" s="19">
        <f t="shared" si="0"/>
        <v>0.49916160920662328</v>
      </c>
      <c r="F30" s="19">
        <f t="shared" si="0"/>
        <v>0.41923199913062187</v>
      </c>
      <c r="G30" s="19">
        <f t="shared" si="0"/>
        <v>0.38126371213845556</v>
      </c>
      <c r="H30" s="19">
        <f t="shared" si="0"/>
        <v>0.33108496936040532</v>
      </c>
      <c r="I30" s="143">
        <f t="shared" si="0"/>
        <v>0.31119208000842696</v>
      </c>
      <c r="J30" s="50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46" si="1">IFERROR(C8/C$25*100,"")</f>
        <v>0.95025624163222466</v>
      </c>
      <c r="D31" s="19">
        <f t="shared" si="1"/>
        <v>0.94752377289920153</v>
      </c>
      <c r="E31" s="19">
        <f t="shared" si="1"/>
        <v>0.6128382268924254</v>
      </c>
      <c r="F31" s="19">
        <f t="shared" si="1"/>
        <v>0.64853780805834527</v>
      </c>
      <c r="G31" s="19">
        <f>IFERROR(G8/G$25*100,"")</f>
        <v>0.74691741948003654</v>
      </c>
      <c r="H31" s="19">
        <f t="shared" si="1"/>
        <v>0.81839849179749147</v>
      </c>
      <c r="I31" s="106">
        <f t="shared" si="1"/>
        <v>1.1694830820250761</v>
      </c>
      <c r="J31" s="50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si="1"/>
        <v>5.8550553621683585</v>
      </c>
      <c r="D32" s="19">
        <f t="shared" si="1"/>
        <v>5.8793864351448262</v>
      </c>
      <c r="E32" s="19">
        <f t="shared" si="1"/>
        <v>5.8544875827739489</v>
      </c>
      <c r="F32" s="19">
        <f t="shared" si="1"/>
        <v>5.5623218184954313</v>
      </c>
      <c r="G32" s="19">
        <f t="shared" si="1"/>
        <v>5.3439609329142659</v>
      </c>
      <c r="H32" s="19">
        <f t="shared" si="1"/>
        <v>4.9512732121570258</v>
      </c>
      <c r="I32" s="106">
        <f t="shared" si="1"/>
        <v>4.7927349270518382</v>
      </c>
      <c r="J32" s="50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si="1"/>
        <v>1.1349754487076911</v>
      </c>
      <c r="D33" s="19">
        <f t="shared" si="1"/>
        <v>1.0652952677763849</v>
      </c>
      <c r="E33" s="19">
        <f t="shared" si="1"/>
        <v>1.3868063390734102</v>
      </c>
      <c r="F33" s="19">
        <f t="shared" si="1"/>
        <v>1.1276784558987947</v>
      </c>
      <c r="G33" s="19">
        <f t="shared" si="1"/>
        <v>1.0551565429967333</v>
      </c>
      <c r="H33" s="19">
        <f t="shared" si="1"/>
        <v>1.0775239395917149</v>
      </c>
      <c r="I33" s="106">
        <f t="shared" si="1"/>
        <v>1.1134285758978579</v>
      </c>
      <c r="J33" s="50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94</v>
      </c>
      <c r="C34" s="19">
        <f t="shared" si="1"/>
        <v>16.139086933974291</v>
      </c>
      <c r="D34" s="19">
        <f t="shared" si="1"/>
        <v>15.764884724220499</v>
      </c>
      <c r="E34" s="19">
        <f t="shared" si="1"/>
        <v>10.324806918851722</v>
      </c>
      <c r="F34" s="19">
        <f t="shared" si="1"/>
        <v>11.426498914179822</v>
      </c>
      <c r="G34" s="19">
        <f t="shared" si="1"/>
        <v>10.722520176941213</v>
      </c>
      <c r="H34" s="19">
        <f t="shared" si="1"/>
        <v>13.565247391358987</v>
      </c>
      <c r="I34" s="106">
        <f t="shared" si="1"/>
        <v>12.887953000958378</v>
      </c>
      <c r="J34" s="50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si="1"/>
        <v>19.128312554405209</v>
      </c>
      <c r="D35" s="19">
        <f t="shared" si="1"/>
        <v>19.051893000934168</v>
      </c>
      <c r="E35" s="19">
        <f t="shared" si="1"/>
        <v>18.953240527802468</v>
      </c>
      <c r="F35" s="19">
        <f t="shared" si="1"/>
        <v>21.528959223835464</v>
      </c>
      <c r="G35" s="19">
        <f t="shared" si="1"/>
        <v>23.27943673583956</v>
      </c>
      <c r="H35" s="19">
        <f t="shared" si="1"/>
        <v>23.199133311837873</v>
      </c>
      <c r="I35" s="106">
        <f t="shared" si="1"/>
        <v>23.362460282302518</v>
      </c>
      <c r="J35" s="50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si="1"/>
        <v>9.6150150750108825</v>
      </c>
      <c r="D36" s="19">
        <f t="shared" si="1"/>
        <v>9.9992535478737281</v>
      </c>
      <c r="E36" s="19">
        <f t="shared" si="1"/>
        <v>9.0350744118171047</v>
      </c>
      <c r="F36" s="19">
        <f t="shared" si="1"/>
        <v>9.1899874992300212</v>
      </c>
      <c r="G36" s="19">
        <f t="shared" si="1"/>
        <v>10.423292463222907</v>
      </c>
      <c r="H36" s="19">
        <f t="shared" si="1"/>
        <v>10.333592436515335</v>
      </c>
      <c r="I36" s="106">
        <f t="shared" si="1"/>
        <v>11.059624383233693</v>
      </c>
      <c r="J36" s="50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si="1"/>
        <v>4.0725074885329073</v>
      </c>
      <c r="D37" s="19">
        <f t="shared" si="1"/>
        <v>4.1161825641881862</v>
      </c>
      <c r="E37" s="19">
        <f t="shared" si="1"/>
        <v>1.9305287242053655</v>
      </c>
      <c r="F37" s="19">
        <f t="shared" si="1"/>
        <v>2.1466001465357403</v>
      </c>
      <c r="G37" s="19">
        <f t="shared" si="1"/>
        <v>2.5032695196269477</v>
      </c>
      <c r="H37" s="19">
        <f t="shared" si="1"/>
        <v>2.4677730993593929</v>
      </c>
      <c r="I37" s="106">
        <f t="shared" si="1"/>
        <v>2.524268835536092</v>
      </c>
      <c r="J37" s="50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si="1"/>
        <v>1.5196719528374563</v>
      </c>
      <c r="D38" s="19">
        <f t="shared" si="1"/>
        <v>1.4972803417866418</v>
      </c>
      <c r="E38" s="19">
        <f t="shared" si="1"/>
        <v>1.9414271620330079</v>
      </c>
      <c r="F38" s="19">
        <f t="shared" si="1"/>
        <v>1.7716365257487088</v>
      </c>
      <c r="G38" s="19">
        <f t="shared" si="1"/>
        <v>1.5674618030425918</v>
      </c>
      <c r="H38" s="19">
        <f t="shared" si="1"/>
        <v>1.5228214490341083</v>
      </c>
      <c r="I38" s="106">
        <f t="shared" si="1"/>
        <v>1.5291037239126579</v>
      </c>
      <c r="J38" s="50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si="1"/>
        <v>8.7972663468911882</v>
      </c>
      <c r="D39" s="19">
        <f t="shared" si="1"/>
        <v>8.7574557173245076</v>
      </c>
      <c r="E39" s="19">
        <f t="shared" si="1"/>
        <v>11.050750076890738</v>
      </c>
      <c r="F39" s="19">
        <f t="shared" si="1"/>
        <v>10.051706082404648</v>
      </c>
      <c r="G39" s="19">
        <f t="shared" si="1"/>
        <v>9.2378962030677503</v>
      </c>
      <c r="H39" s="19">
        <f t="shared" si="1"/>
        <v>8.4177002150480664</v>
      </c>
      <c r="I39" s="106">
        <f t="shared" si="1"/>
        <v>8.3463542711384751</v>
      </c>
      <c r="J39" s="50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95</v>
      </c>
      <c r="C40" s="19">
        <f t="shared" si="1"/>
        <v>17.939525636296501</v>
      </c>
      <c r="D40" s="19">
        <f t="shared" si="1"/>
        <v>18.090330351248898</v>
      </c>
      <c r="E40" s="19">
        <f t="shared" si="1"/>
        <v>21.903631346539314</v>
      </c>
      <c r="F40" s="19">
        <f t="shared" si="1"/>
        <v>20.534838735213821</v>
      </c>
      <c r="G40" s="19">
        <f t="shared" si="1"/>
        <v>19.684212451216563</v>
      </c>
      <c r="H40" s="19">
        <f t="shared" si="1"/>
        <v>18.711243522980524</v>
      </c>
      <c r="I40" s="106">
        <f t="shared" si="1"/>
        <v>18.677045565221974</v>
      </c>
      <c r="J40" s="50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si="1"/>
        <v>1.38646917015673</v>
      </c>
      <c r="D41" s="19">
        <f t="shared" si="1"/>
        <v>1.4243897547721298</v>
      </c>
      <c r="E41" s="19">
        <f t="shared" si="1"/>
        <v>1.67399610012149</v>
      </c>
      <c r="F41" s="19">
        <f t="shared" si="1"/>
        <v>1.4338274828070372</v>
      </c>
      <c r="G41" s="19">
        <f t="shared" si="1"/>
        <v>1.4594985825033016</v>
      </c>
      <c r="H41" s="19">
        <f t="shared" si="1"/>
        <v>1.439144563622178</v>
      </c>
      <c r="I41" s="106">
        <f t="shared" si="1"/>
        <v>1.4455054993648389</v>
      </c>
      <c r="J41" s="50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si="1"/>
        <v>1.4809148508868786</v>
      </c>
      <c r="D42" s="19">
        <f t="shared" si="1"/>
        <v>1.5004879808413694</v>
      </c>
      <c r="E42" s="19">
        <f t="shared" si="1"/>
        <v>2.0658513524627402</v>
      </c>
      <c r="F42" s="19">
        <f t="shared" si="1"/>
        <v>1.7686880794189681</v>
      </c>
      <c r="G42" s="19">
        <f t="shared" si="1"/>
        <v>1.6765351497455714</v>
      </c>
      <c r="H42" s="19">
        <f t="shared" si="1"/>
        <v>1.508894182072327</v>
      </c>
      <c r="I42" s="106">
        <f t="shared" si="1"/>
        <v>1.4903604369112997</v>
      </c>
      <c r="J42" s="50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si="1"/>
        <v>2.0141742458694143</v>
      </c>
      <c r="D43" s="19">
        <f t="shared" si="1"/>
        <v>1.982892528870047</v>
      </c>
      <c r="E43" s="19">
        <f t="shared" si="1"/>
        <v>1.350554291163619</v>
      </c>
      <c r="F43" s="19">
        <f t="shared" si="1"/>
        <v>1.6057025553215976</v>
      </c>
      <c r="G43" s="19">
        <f t="shared" si="1"/>
        <v>1.8157452314107654</v>
      </c>
      <c r="H43" s="19">
        <f t="shared" si="1"/>
        <v>1.7905657641574817</v>
      </c>
      <c r="I43" s="106">
        <f t="shared" si="1"/>
        <v>1.8485018573035299</v>
      </c>
      <c r="J43" s="50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si="1"/>
        <v>0.34922620663663162</v>
      </c>
      <c r="D44" s="132">
        <f t="shared" si="1"/>
        <v>0.33062789128770226</v>
      </c>
      <c r="E44" s="132">
        <f t="shared" si="1"/>
        <v>0.33724890090743764</v>
      </c>
      <c r="F44" s="132">
        <f t="shared" si="1"/>
        <v>0.29147696314663663</v>
      </c>
      <c r="G44" s="132">
        <f t="shared" si="1"/>
        <v>0.30906667173184349</v>
      </c>
      <c r="H44" s="132">
        <f t="shared" si="1"/>
        <v>0.32996204243362842</v>
      </c>
      <c r="I44" s="117">
        <f t="shared" si="1"/>
        <v>0.28591028525717194</v>
      </c>
      <c r="J44" s="50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93</v>
      </c>
      <c r="C45" s="132">
        <f t="shared" si="1"/>
        <v>5.9086572865629261</v>
      </c>
      <c r="D45" s="132">
        <f t="shared" si="1"/>
        <v>6.0291807290317427</v>
      </c>
      <c r="E45" s="132">
        <f t="shared" si="1"/>
        <v>8.4780885813794384</v>
      </c>
      <c r="F45" s="132">
        <f t="shared" si="1"/>
        <v>7.7169686932356711</v>
      </c>
      <c r="G45" s="132">
        <f t="shared" si="1"/>
        <v>7.0093656041858701</v>
      </c>
      <c r="H45" s="132">
        <f t="shared" si="1"/>
        <v>6.5003052358881357</v>
      </c>
      <c r="I45" s="117">
        <f t="shared" si="1"/>
        <v>6.2715668665511384</v>
      </c>
      <c r="J45" s="50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si="1"/>
        <v>96.645010431586698</v>
      </c>
      <c r="D46" s="144">
        <f t="shared" si="1"/>
        <v>96.771446522714641</v>
      </c>
      <c r="E46" s="144">
        <f t="shared" si="1"/>
        <v>97.362535384207973</v>
      </c>
      <c r="F46" s="144">
        <f t="shared" si="1"/>
        <v>97.240499651770079</v>
      </c>
      <c r="G46" s="144">
        <f t="shared" si="1"/>
        <v>97.116859530356123</v>
      </c>
      <c r="H46" s="144">
        <f t="shared" si="1"/>
        <v>97.228287313207858</v>
      </c>
      <c r="I46" s="129">
        <f t="shared" si="1"/>
        <v>97.26528511005111</v>
      </c>
      <c r="J46" s="93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8" si="2">IFERROR(C24/C$25*100,"")</f>
        <v>3.3549895684133109</v>
      </c>
      <c r="D47" s="132">
        <f t="shared" si="2"/>
        <v>3.228553477285343</v>
      </c>
      <c r="E47" s="132">
        <f t="shared" si="2"/>
        <v>2.6099912428949334</v>
      </c>
      <c r="F47" s="132">
        <f t="shared" si="2"/>
        <v>2.734969958531662</v>
      </c>
      <c r="G47" s="132">
        <f t="shared" si="2"/>
        <v>2.8581859353798391</v>
      </c>
      <c r="H47" s="132">
        <f t="shared" si="2"/>
        <v>2.7479365445095878</v>
      </c>
      <c r="I47" s="117">
        <f t="shared" si="2"/>
        <v>2.7084072520981026</v>
      </c>
      <c r="J47" s="50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si="2"/>
        <v>100</v>
      </c>
      <c r="D48" s="144">
        <f t="shared" si="2"/>
        <v>100</v>
      </c>
      <c r="E48" s="144">
        <f t="shared" si="2"/>
        <v>100</v>
      </c>
      <c r="F48" s="144">
        <f t="shared" si="2"/>
        <v>100</v>
      </c>
      <c r="G48" s="144">
        <f t="shared" si="2"/>
        <v>100</v>
      </c>
      <c r="H48" s="144">
        <f t="shared" si="2"/>
        <v>100</v>
      </c>
      <c r="I48" s="129">
        <f t="shared" si="2"/>
        <v>100</v>
      </c>
      <c r="K48" s="50"/>
    </row>
    <row r="49" spans="1:11">
      <c r="A49" s="7"/>
      <c r="B49" s="32"/>
      <c r="C49" s="15"/>
      <c r="D49" s="15"/>
      <c r="E49" s="15"/>
      <c r="F49" s="15"/>
      <c r="G49" s="15"/>
    </row>
    <row r="50" spans="1:11" s="74" customFormat="1" ht="20.25" customHeight="1" thickBot="1">
      <c r="A50" s="190" t="s">
        <v>209</v>
      </c>
      <c r="B50" s="190"/>
      <c r="C50" s="190"/>
      <c r="D50" s="190"/>
      <c r="E50" s="190"/>
      <c r="F50" s="190"/>
      <c r="G50" s="190"/>
      <c r="H50" s="190"/>
      <c r="I50" s="190"/>
      <c r="J50" s="130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-3.6752826704630479</v>
      </c>
      <c r="E53" s="20">
        <f t="shared" ref="E53:I53" si="3">IFERROR(E7/D7*100-100,"")</f>
        <v>17.59556030834699</v>
      </c>
      <c r="F53" s="20">
        <f t="shared" si="3"/>
        <v>-2.3551936074277791</v>
      </c>
      <c r="G53" s="20">
        <f t="shared" si="3"/>
        <v>1.0629967844560468</v>
      </c>
      <c r="H53" s="19">
        <f t="shared" si="3"/>
        <v>-3.5393836059691637</v>
      </c>
      <c r="I53" s="143">
        <f t="shared" si="3"/>
        <v>-1.3143242223872136</v>
      </c>
    </row>
    <row r="54" spans="1:11" ht="32.25" customHeight="1">
      <c r="A54" s="56" t="s">
        <v>1</v>
      </c>
      <c r="B54" s="57" t="s">
        <v>31</v>
      </c>
      <c r="D54" s="20">
        <f t="shared" ref="D54:I69" si="4">IFERROR(D8/C8*100-100,"")</f>
        <v>1.6528474667139932</v>
      </c>
      <c r="E54" s="20">
        <f t="shared" si="4"/>
        <v>-49.049522091598305</v>
      </c>
      <c r="F54" s="20">
        <f t="shared" si="4"/>
        <v>23.034059210452497</v>
      </c>
      <c r="G54" s="20">
        <f t="shared" si="4"/>
        <v>27.984805510206684</v>
      </c>
      <c r="H54" s="19">
        <f t="shared" si="4"/>
        <v>21.710563187542448</v>
      </c>
      <c r="I54" s="106">
        <f t="shared" si="4"/>
        <v>50.035549169876958</v>
      </c>
    </row>
    <row r="55" spans="1:11" ht="32.25" customHeight="1">
      <c r="A55" s="56" t="s">
        <v>2</v>
      </c>
      <c r="B55" s="57" t="s">
        <v>3</v>
      </c>
      <c r="D55" s="20">
        <f t="shared" si="4"/>
        <v>2.3696372890922817</v>
      </c>
      <c r="E55" s="20">
        <f t="shared" si="4"/>
        <v>-21.557863699057705</v>
      </c>
      <c r="F55" s="20">
        <f t="shared" si="4"/>
        <v>10.459512880601963</v>
      </c>
      <c r="G55" s="20">
        <f t="shared" si="4"/>
        <v>6.7648480991440181</v>
      </c>
      <c r="H55" s="19">
        <f t="shared" si="4"/>
        <v>2.9176015578008077</v>
      </c>
      <c r="I55" s="106">
        <f t="shared" si="4"/>
        <v>1.6322563689662246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4"/>
        <v>-4.3128333669853305</v>
      </c>
      <c r="E56" s="20">
        <f t="shared" si="4"/>
        <v>2.5506340686395532</v>
      </c>
      <c r="F56" s="20">
        <f t="shared" si="4"/>
        <v>-5.4622273407343727</v>
      </c>
      <c r="G56" s="20">
        <f t="shared" si="4"/>
        <v>3.9807000622097632</v>
      </c>
      <c r="H56" s="19">
        <f t="shared" si="4"/>
        <v>13.434737712738794</v>
      </c>
      <c r="I56" s="106">
        <f t="shared" si="4"/>
        <v>8.492691767423338</v>
      </c>
    </row>
    <row r="57" spans="1:11" ht="32.25" customHeight="1">
      <c r="A57" s="56" t="s">
        <v>4</v>
      </c>
      <c r="B57" s="57" t="s">
        <v>94</v>
      </c>
      <c r="D57" s="20">
        <f t="shared" si="4"/>
        <v>-0.41773436636685801</v>
      </c>
      <c r="E57" s="20">
        <f t="shared" si="4"/>
        <v>-48.407844968879346</v>
      </c>
      <c r="F57" s="20">
        <f t="shared" si="4"/>
        <v>28.666990981600378</v>
      </c>
      <c r="G57" s="20">
        <f t="shared" si="4"/>
        <v>4.2809102865427775</v>
      </c>
      <c r="H57" s="19">
        <f t="shared" si="4"/>
        <v>40.529301008823921</v>
      </c>
      <c r="I57" s="106">
        <f t="shared" si="4"/>
        <v>-0.2480775724668689</v>
      </c>
    </row>
    <row r="58" spans="1:11" ht="32.25" customHeight="1">
      <c r="A58" s="56" t="s">
        <v>5</v>
      </c>
      <c r="B58" s="57" t="s">
        <v>54</v>
      </c>
      <c r="D58" s="20">
        <f t="shared" si="4"/>
        <v>1.538709302807419</v>
      </c>
      <c r="E58" s="20">
        <f t="shared" si="4"/>
        <v>-21.632161230399305</v>
      </c>
      <c r="F58" s="20">
        <f t="shared" si="4"/>
        <v>32.061267678528623</v>
      </c>
      <c r="G58" s="20">
        <f t="shared" si="4"/>
        <v>20.162943137962912</v>
      </c>
      <c r="H58" s="19">
        <f t="shared" si="4"/>
        <v>10.696867732278051</v>
      </c>
      <c r="I58" s="106">
        <f t="shared" si="4"/>
        <v>5.7333188712929086</v>
      </c>
    </row>
    <row r="59" spans="1:11" ht="32.25" customHeight="1">
      <c r="A59" s="56" t="s">
        <v>6</v>
      </c>
      <c r="B59" s="57" t="s">
        <v>55</v>
      </c>
      <c r="D59" s="20">
        <f t="shared" si="4"/>
        <v>6.0199940799889049</v>
      </c>
      <c r="E59" s="20">
        <f t="shared" si="4"/>
        <v>-28.820213251356876</v>
      </c>
      <c r="F59" s="20">
        <f t="shared" si="4"/>
        <v>18.254884335056573</v>
      </c>
      <c r="G59" s="20">
        <f t="shared" si="4"/>
        <v>26.040793055526976</v>
      </c>
      <c r="H59" s="19">
        <f t="shared" si="4"/>
        <v>10.124118434892864</v>
      </c>
      <c r="I59" s="106">
        <f t="shared" si="4"/>
        <v>12.370961687084645</v>
      </c>
    </row>
    <row r="60" spans="1:11" ht="32.25" customHeight="1">
      <c r="A60" s="56" t="s">
        <v>7</v>
      </c>
      <c r="B60" s="57" t="s">
        <v>32</v>
      </c>
      <c r="D60" s="20">
        <f t="shared" si="4"/>
        <v>3.0393004352683022</v>
      </c>
      <c r="E60" s="20">
        <f t="shared" si="4"/>
        <v>-63.053426370184056</v>
      </c>
      <c r="F60" s="20">
        <f t="shared" si="4"/>
        <v>29.273881105531387</v>
      </c>
      <c r="G60" s="20">
        <f t="shared" si="4"/>
        <v>29.591817488087514</v>
      </c>
      <c r="H60" s="19">
        <f t="shared" si="4"/>
        <v>9.5049255392500385</v>
      </c>
      <c r="I60" s="106">
        <f t="shared" si="4"/>
        <v>7.3978108011289549</v>
      </c>
    </row>
    <row r="61" spans="1:11" ht="32.25" customHeight="1">
      <c r="A61" s="56" t="s">
        <v>8</v>
      </c>
      <c r="B61" s="57" t="s">
        <v>56</v>
      </c>
      <c r="D61" s="20">
        <f t="shared" si="4"/>
        <v>0.44387035351007853</v>
      </c>
      <c r="E61" s="20">
        <f t="shared" si="4"/>
        <v>2.1434466835251129</v>
      </c>
      <c r="F61" s="20">
        <f t="shared" si="4"/>
        <v>6.0936582736503198</v>
      </c>
      <c r="G61" s="20">
        <f t="shared" si="4"/>
        <v>-1.6796388737925554</v>
      </c>
      <c r="H61" s="19">
        <f t="shared" si="4"/>
        <v>7.9165514171024398</v>
      </c>
      <c r="I61" s="106">
        <f t="shared" si="4"/>
        <v>5.4272818848915279</v>
      </c>
    </row>
    <row r="62" spans="1:11" ht="32.25" customHeight="1">
      <c r="A62" s="56" t="s">
        <v>9</v>
      </c>
      <c r="B62" s="57" t="s">
        <v>57</v>
      </c>
      <c r="D62" s="20">
        <f t="shared" si="4"/>
        <v>1.4846535335507411</v>
      </c>
      <c r="E62" s="20">
        <f t="shared" si="4"/>
        <v>-0.59543327102193189</v>
      </c>
      <c r="F62" s="20">
        <f t="shared" si="4"/>
        <v>5.7508641104004283</v>
      </c>
      <c r="G62" s="20">
        <f t="shared" si="4"/>
        <v>2.1302561676356504</v>
      </c>
      <c r="H62" s="19">
        <f t="shared" si="4"/>
        <v>1.2176888031358146</v>
      </c>
      <c r="I62" s="106">
        <f t="shared" si="4"/>
        <v>4.1042378560376847</v>
      </c>
    </row>
    <row r="63" spans="1:11" ht="32.25" customHeight="1">
      <c r="A63" s="56" t="s">
        <v>70</v>
      </c>
      <c r="B63" s="57" t="s">
        <v>95</v>
      </c>
      <c r="D63" s="20">
        <f t="shared" si="4"/>
        <v>2.8029807070976602</v>
      </c>
      <c r="E63" s="20">
        <f t="shared" si="4"/>
        <v>-4.6189380804874389</v>
      </c>
      <c r="F63" s="20">
        <f t="shared" si="4"/>
        <v>8.9961294269287748</v>
      </c>
      <c r="G63" s="20">
        <f t="shared" si="4"/>
        <v>6.5240994137436132</v>
      </c>
      <c r="H63" s="19">
        <f t="shared" si="4"/>
        <v>5.5894790304330542</v>
      </c>
      <c r="I63" s="106">
        <f t="shared" si="4"/>
        <v>4.8022426723336906</v>
      </c>
    </row>
    <row r="64" spans="1:11" ht="32.25" customHeight="1">
      <c r="A64" s="56" t="s">
        <v>10</v>
      </c>
      <c r="B64" s="57" t="s">
        <v>58</v>
      </c>
      <c r="D64" s="20">
        <f t="shared" si="4"/>
        <v>4.7342648478212226</v>
      </c>
      <c r="E64" s="20">
        <f t="shared" si="4"/>
        <v>-7.4197966739027947</v>
      </c>
      <c r="F64" s="20">
        <f t="shared" si="4"/>
        <v>-0.41856982255488617</v>
      </c>
      <c r="G64" s="20">
        <f t="shared" si="4"/>
        <v>13.117005886493999</v>
      </c>
      <c r="H64" s="19">
        <f t="shared" si="4"/>
        <v>9.5309321550140567</v>
      </c>
      <c r="I64" s="106">
        <f t="shared" si="4"/>
        <v>5.4582052053172134</v>
      </c>
    </row>
    <row r="65" spans="1:9" ht="32.25" customHeight="1">
      <c r="A65" s="56" t="s">
        <v>59</v>
      </c>
      <c r="B65" s="57" t="s">
        <v>60</v>
      </c>
      <c r="D65" s="20">
        <f t="shared" si="4"/>
        <v>3.2934057421413598</v>
      </c>
      <c r="E65" s="20">
        <f t="shared" si="4"/>
        <v>8.4573721178117722</v>
      </c>
      <c r="F65" s="20">
        <f t="shared" si="4"/>
        <v>-0.46219014232001143</v>
      </c>
      <c r="G65" s="20">
        <f t="shared" si="4"/>
        <v>5.337386378604478</v>
      </c>
      <c r="H65" s="19">
        <f t="shared" si="4"/>
        <v>-2.7129838103860493E-2</v>
      </c>
      <c r="I65" s="106">
        <f t="shared" si="4"/>
        <v>3.7044943483838892</v>
      </c>
    </row>
    <row r="66" spans="1:9" ht="32.25" customHeight="1">
      <c r="A66" s="56" t="s">
        <v>66</v>
      </c>
      <c r="B66" s="57" t="s">
        <v>67</v>
      </c>
      <c r="D66" s="20">
        <f t="shared" si="4"/>
        <v>0.3626921027225336</v>
      </c>
      <c r="E66" s="20">
        <f t="shared" si="4"/>
        <v>-46.345592874725462</v>
      </c>
      <c r="F66" s="20">
        <f t="shared" si="4"/>
        <v>38.225749050947741</v>
      </c>
      <c r="G66" s="20">
        <f t="shared" si="4"/>
        <v>25.664016862705651</v>
      </c>
      <c r="H66" s="19">
        <f t="shared" si="4"/>
        <v>9.5396638788693764</v>
      </c>
      <c r="I66" s="106">
        <f t="shared" si="4"/>
        <v>8.3913595850382734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4"/>
        <v>-3.4832198949497979</v>
      </c>
      <c r="E67" s="23">
        <f t="shared" si="4"/>
        <v>-19.646724417975094</v>
      </c>
      <c r="F67" s="24">
        <f t="shared" si="4"/>
        <v>0.48230611519441879</v>
      </c>
      <c r="G67" s="24">
        <f t="shared" si="4"/>
        <v>17.833577527338477</v>
      </c>
      <c r="H67" s="132">
        <f t="shared" si="4"/>
        <v>18.589939525657513</v>
      </c>
      <c r="I67" s="131">
        <f t="shared" si="4"/>
        <v>-9.0231606848130212</v>
      </c>
    </row>
    <row r="68" spans="1:9" ht="32.25" customHeight="1">
      <c r="A68" s="25"/>
      <c r="B68" s="78" t="s">
        <v>93</v>
      </c>
      <c r="C68" s="82"/>
      <c r="D68" s="24">
        <f t="shared" si="4"/>
        <v>4.025465024585003</v>
      </c>
      <c r="E68" s="24">
        <f t="shared" si="4"/>
        <v>10.772556071511701</v>
      </c>
      <c r="F68" s="24">
        <f t="shared" si="4"/>
        <v>5.8241257278795615</v>
      </c>
      <c r="G68" s="24">
        <f t="shared" si="4"/>
        <v>0.93762895112317324</v>
      </c>
      <c r="H68" s="24">
        <f t="shared" si="4"/>
        <v>3.0127727441611398</v>
      </c>
      <c r="I68" s="117">
        <f t="shared" si="4"/>
        <v>1.2995125757225878</v>
      </c>
    </row>
    <row r="69" spans="1:9" ht="32.25" customHeight="1">
      <c r="A69" s="34"/>
      <c r="B69" s="79" t="s">
        <v>33</v>
      </c>
      <c r="C69" s="82"/>
      <c r="D69" s="33">
        <f t="shared" si="4"/>
        <v>2.0793650303804583</v>
      </c>
      <c r="E69" s="33">
        <f t="shared" si="4"/>
        <v>-20.74308360994408</v>
      </c>
      <c r="F69" s="33">
        <f t="shared" si="4"/>
        <v>16.115770344618426</v>
      </c>
      <c r="G69" s="88">
        <f t="shared" si="4"/>
        <v>10.986095349561523</v>
      </c>
      <c r="H69" s="88">
        <f t="shared" si="4"/>
        <v>11.207491696008788</v>
      </c>
      <c r="I69" s="129">
        <f t="shared" si="4"/>
        <v>5.0340900880425465</v>
      </c>
    </row>
    <row r="70" spans="1:9" ht="32.25" customHeight="1">
      <c r="A70" s="21" t="s">
        <v>25</v>
      </c>
      <c r="B70" s="80" t="s">
        <v>34</v>
      </c>
      <c r="C70" s="82"/>
      <c r="D70" s="24">
        <f t="shared" ref="D70:I71" si="5">IFERROR(D24/C24*100-100,"")</f>
        <v>-1.8959414229747722</v>
      </c>
      <c r="E70" s="24">
        <f t="shared" si="5"/>
        <v>-36.316988076680943</v>
      </c>
      <c r="F70" s="24">
        <f t="shared" si="5"/>
        <v>21.828644134432594</v>
      </c>
      <c r="G70" s="24">
        <f t="shared" si="5"/>
        <v>16.133908254677692</v>
      </c>
      <c r="H70" s="24">
        <f t="shared" si="5"/>
        <v>6.7953299147694111</v>
      </c>
      <c r="I70" s="117">
        <f t="shared" si="5"/>
        <v>3.4837879222212393</v>
      </c>
    </row>
    <row r="71" spans="1:9" ht="32.25" customHeight="1">
      <c r="A71" s="30"/>
      <c r="B71" s="81" t="s">
        <v>35</v>
      </c>
      <c r="C71" s="82"/>
      <c r="D71" s="31">
        <f t="shared" si="5"/>
        <v>1.9459939135579418</v>
      </c>
      <c r="E71" s="31">
        <f t="shared" si="5"/>
        <v>-21.224253089452816</v>
      </c>
      <c r="F71" s="31">
        <f t="shared" si="5"/>
        <v>16.261494329299111</v>
      </c>
      <c r="G71" s="31">
        <f t="shared" si="5"/>
        <v>11.127392487572777</v>
      </c>
      <c r="H71" s="31">
        <f t="shared" si="5"/>
        <v>11.080043146017672</v>
      </c>
      <c r="I71" s="129">
        <f t="shared" si="5"/>
        <v>4.9941371909498571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>
      <c r="A86" s="18"/>
      <c r="B86" s="101"/>
      <c r="C86" s="10"/>
      <c r="D86" s="101"/>
      <c r="E86" s="101"/>
    </row>
    <row r="87" spans="1:8">
      <c r="A87" s="18"/>
      <c r="B87" s="101"/>
      <c r="C87" s="101"/>
      <c r="D87" s="101"/>
      <c r="E87" s="101"/>
    </row>
    <row r="88" spans="1:8">
      <c r="A88" s="61"/>
      <c r="B88" s="101"/>
      <c r="C88" s="101"/>
      <c r="D88" s="101"/>
      <c r="E88" s="101"/>
    </row>
    <row r="89" spans="1:8">
      <c r="A89" s="64"/>
      <c r="B89" s="45"/>
      <c r="C89" s="45"/>
      <c r="D89" s="101"/>
      <c r="E89" s="101"/>
    </row>
    <row r="90" spans="1:8">
      <c r="A90" s="64"/>
      <c r="B90" s="45"/>
      <c r="C90" s="45"/>
      <c r="D90" s="101"/>
      <c r="E90" s="101"/>
    </row>
    <row r="91" spans="1:8">
      <c r="A91" s="64"/>
      <c r="B91" s="45"/>
      <c r="C91" s="45"/>
      <c r="D91" s="101"/>
      <c r="E91" s="101"/>
    </row>
    <row r="92" spans="1:8">
      <c r="A92" s="64"/>
      <c r="B92" s="45"/>
      <c r="C92" s="45"/>
      <c r="D92" s="101"/>
      <c r="E92" s="101"/>
    </row>
    <row r="93" spans="1:8">
      <c r="A93" s="64"/>
      <c r="B93" s="45"/>
      <c r="C93" s="45"/>
      <c r="D93" s="101"/>
      <c r="E93" s="101"/>
    </row>
    <row r="94" spans="1:8">
      <c r="A94" s="91"/>
      <c r="B94" s="101"/>
      <c r="C94" s="59"/>
      <c r="D94" s="101"/>
      <c r="E94" s="101"/>
    </row>
    <row r="95" spans="1:8">
      <c r="A95" s="7"/>
      <c r="B95" s="101"/>
      <c r="C95" s="18"/>
      <c r="D95" s="101"/>
      <c r="E95" s="101"/>
    </row>
    <row r="96" spans="1:8">
      <c r="B96" s="101"/>
      <c r="C96" s="18"/>
      <c r="D96" s="101"/>
      <c r="E96" s="101"/>
    </row>
    <row r="97" spans="1:5">
      <c r="B97" s="101"/>
      <c r="C97" s="18"/>
      <c r="D97" s="101"/>
      <c r="E97" s="101"/>
    </row>
    <row r="98" spans="1:5">
      <c r="B98" s="101"/>
      <c r="C98" s="18"/>
      <c r="D98" s="101"/>
      <c r="E98" s="101"/>
    </row>
    <row r="99" spans="1:5">
      <c r="A99" s="61"/>
      <c r="B99" s="101"/>
      <c r="C99" s="101"/>
      <c r="D99" s="101"/>
      <c r="E99" s="101"/>
    </row>
    <row r="100" spans="1:5">
      <c r="A100" s="61"/>
      <c r="B100" s="101"/>
      <c r="C100" s="101"/>
      <c r="D100" s="101"/>
      <c r="E100" s="101"/>
    </row>
  </sheetData>
  <mergeCells count="9">
    <mergeCell ref="A73:E73"/>
    <mergeCell ref="A5:A6"/>
    <mergeCell ref="A28:A29"/>
    <mergeCell ref="A51:A52"/>
    <mergeCell ref="B5:B6"/>
    <mergeCell ref="C5:I5"/>
    <mergeCell ref="B28:B29"/>
    <mergeCell ref="C28:I28"/>
    <mergeCell ref="B51:C52"/>
  </mergeCells>
  <hyperlinks>
    <hyperlink ref="K2" location="Índice!A1" display="Índice"/>
    <hyperlink ref="K3" location="'Cuadro 9-Panamá'!A27" display="Composición "/>
    <hyperlink ref="K4" location="'Cuadro 9-Panamá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5" max="8" man="1"/>
    <brk id="48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P2"/>
  <sheetViews>
    <sheetView zoomScaleNormal="10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57" orientation="portrait" r:id="rId1"/>
  <colBreaks count="1" manualBreakCount="1">
    <brk id="14" max="5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P81"/>
  <sheetViews>
    <sheetView zoomScaleNormal="100" workbookViewId="0"/>
  </sheetViews>
  <sheetFormatPr baseColWidth="10" defaultRowHeight="12.75"/>
  <cols>
    <col min="1" max="1" width="42.140625" style="5" customWidth="1"/>
    <col min="2" max="5" width="13.7109375" style="5" customWidth="1"/>
    <col min="6" max="6" width="13.7109375" style="55" customWidth="1"/>
    <col min="7" max="7" width="13.7109375" style="5" customWidth="1"/>
    <col min="8" max="8" width="13.7109375" style="89" customWidth="1"/>
    <col min="9" max="10" width="11.42578125" style="89"/>
    <col min="11" max="157" width="11.42578125" style="5"/>
    <col min="158" max="158" width="32.7109375" style="5" customWidth="1"/>
    <col min="159" max="172" width="8.7109375" style="5" customWidth="1"/>
    <col min="173" max="173" width="9.85546875" style="5" customWidth="1"/>
    <col min="174" max="219" width="11.42578125" style="5"/>
    <col min="220" max="220" width="42.140625" style="5" customWidth="1"/>
    <col min="221" max="224" width="13.7109375" style="5" customWidth="1"/>
    <col min="225" max="232" width="12.140625" style="5" bestFit="1" customWidth="1"/>
    <col min="233" max="413" width="11.42578125" style="5"/>
    <col min="414" max="414" width="32.7109375" style="5" customWidth="1"/>
    <col min="415" max="428" width="8.7109375" style="5" customWidth="1"/>
    <col min="429" max="429" width="9.85546875" style="5" customWidth="1"/>
    <col min="430" max="475" width="11.42578125" style="5"/>
    <col min="476" max="476" width="42.140625" style="5" customWidth="1"/>
    <col min="477" max="480" width="13.7109375" style="5" customWidth="1"/>
    <col min="481" max="488" width="12.140625" style="5" bestFit="1" customWidth="1"/>
    <col min="489" max="669" width="11.42578125" style="5"/>
    <col min="670" max="670" width="32.7109375" style="5" customWidth="1"/>
    <col min="671" max="684" width="8.7109375" style="5" customWidth="1"/>
    <col min="685" max="685" width="9.85546875" style="5" customWidth="1"/>
    <col min="686" max="731" width="11.42578125" style="5"/>
    <col min="732" max="732" width="42.140625" style="5" customWidth="1"/>
    <col min="733" max="736" width="13.7109375" style="5" customWidth="1"/>
    <col min="737" max="744" width="12.140625" style="5" bestFit="1" customWidth="1"/>
    <col min="745" max="925" width="11.42578125" style="5"/>
    <col min="926" max="926" width="32.7109375" style="5" customWidth="1"/>
    <col min="927" max="940" width="8.7109375" style="5" customWidth="1"/>
    <col min="941" max="941" width="9.85546875" style="5" customWidth="1"/>
    <col min="942" max="987" width="11.42578125" style="5"/>
    <col min="988" max="988" width="42.140625" style="5" customWidth="1"/>
    <col min="989" max="992" width="13.7109375" style="5" customWidth="1"/>
    <col min="993" max="1000" width="12.140625" style="5" bestFit="1" customWidth="1"/>
    <col min="1001" max="1181" width="11.42578125" style="5"/>
    <col min="1182" max="1182" width="32.7109375" style="5" customWidth="1"/>
    <col min="1183" max="1196" width="8.7109375" style="5" customWidth="1"/>
    <col min="1197" max="1197" width="9.85546875" style="5" customWidth="1"/>
    <col min="1198" max="1243" width="11.42578125" style="5"/>
    <col min="1244" max="1244" width="42.140625" style="5" customWidth="1"/>
    <col min="1245" max="1248" width="13.7109375" style="5" customWidth="1"/>
    <col min="1249" max="1256" width="12.140625" style="5" bestFit="1" customWidth="1"/>
    <col min="1257" max="1437" width="11.42578125" style="5"/>
    <col min="1438" max="1438" width="32.7109375" style="5" customWidth="1"/>
    <col min="1439" max="1452" width="8.7109375" style="5" customWidth="1"/>
    <col min="1453" max="1453" width="9.85546875" style="5" customWidth="1"/>
    <col min="1454" max="1499" width="11.42578125" style="5"/>
    <col min="1500" max="1500" width="42.140625" style="5" customWidth="1"/>
    <col min="1501" max="1504" width="13.7109375" style="5" customWidth="1"/>
    <col min="1505" max="1512" width="12.140625" style="5" bestFit="1" customWidth="1"/>
    <col min="1513" max="1693" width="11.42578125" style="5"/>
    <col min="1694" max="1694" width="32.7109375" style="5" customWidth="1"/>
    <col min="1695" max="1708" width="8.7109375" style="5" customWidth="1"/>
    <col min="1709" max="1709" width="9.85546875" style="5" customWidth="1"/>
    <col min="1710" max="1755" width="11.42578125" style="5"/>
    <col min="1756" max="1756" width="42.140625" style="5" customWidth="1"/>
    <col min="1757" max="1760" width="13.7109375" style="5" customWidth="1"/>
    <col min="1761" max="1768" width="12.140625" style="5" bestFit="1" customWidth="1"/>
    <col min="1769" max="1949" width="11.42578125" style="5"/>
    <col min="1950" max="1950" width="32.7109375" style="5" customWidth="1"/>
    <col min="1951" max="1964" width="8.7109375" style="5" customWidth="1"/>
    <col min="1965" max="1965" width="9.85546875" style="5" customWidth="1"/>
    <col min="1966" max="2011" width="11.42578125" style="5"/>
    <col min="2012" max="2012" width="42.140625" style="5" customWidth="1"/>
    <col min="2013" max="2016" width="13.7109375" style="5" customWidth="1"/>
    <col min="2017" max="2024" width="12.140625" style="5" bestFit="1" customWidth="1"/>
    <col min="2025" max="2205" width="11.42578125" style="5"/>
    <col min="2206" max="2206" width="32.7109375" style="5" customWidth="1"/>
    <col min="2207" max="2220" width="8.7109375" style="5" customWidth="1"/>
    <col min="2221" max="2221" width="9.85546875" style="5" customWidth="1"/>
    <col min="2222" max="2267" width="11.42578125" style="5"/>
    <col min="2268" max="2268" width="42.140625" style="5" customWidth="1"/>
    <col min="2269" max="2272" width="13.7109375" style="5" customWidth="1"/>
    <col min="2273" max="2280" width="12.140625" style="5" bestFit="1" customWidth="1"/>
    <col min="2281" max="2461" width="11.42578125" style="5"/>
    <col min="2462" max="2462" width="32.7109375" style="5" customWidth="1"/>
    <col min="2463" max="2476" width="8.7109375" style="5" customWidth="1"/>
    <col min="2477" max="2477" width="9.85546875" style="5" customWidth="1"/>
    <col min="2478" max="2523" width="11.42578125" style="5"/>
    <col min="2524" max="2524" width="42.140625" style="5" customWidth="1"/>
    <col min="2525" max="2528" width="13.7109375" style="5" customWidth="1"/>
    <col min="2529" max="2536" width="12.140625" style="5" bestFit="1" customWidth="1"/>
    <col min="2537" max="2717" width="11.42578125" style="5"/>
    <col min="2718" max="2718" width="32.7109375" style="5" customWidth="1"/>
    <col min="2719" max="2732" width="8.7109375" style="5" customWidth="1"/>
    <col min="2733" max="2733" width="9.85546875" style="5" customWidth="1"/>
    <col min="2734" max="2779" width="11.42578125" style="5"/>
    <col min="2780" max="2780" width="42.140625" style="5" customWidth="1"/>
    <col min="2781" max="2784" width="13.7109375" style="5" customWidth="1"/>
    <col min="2785" max="2792" width="12.140625" style="5" bestFit="1" customWidth="1"/>
    <col min="2793" max="2973" width="11.42578125" style="5"/>
    <col min="2974" max="2974" width="32.7109375" style="5" customWidth="1"/>
    <col min="2975" max="2988" width="8.7109375" style="5" customWidth="1"/>
    <col min="2989" max="2989" width="9.85546875" style="5" customWidth="1"/>
    <col min="2990" max="3035" width="11.42578125" style="5"/>
    <col min="3036" max="3036" width="42.140625" style="5" customWidth="1"/>
    <col min="3037" max="3040" width="13.7109375" style="5" customWidth="1"/>
    <col min="3041" max="3048" width="12.140625" style="5" bestFit="1" customWidth="1"/>
    <col min="3049" max="3229" width="11.42578125" style="5"/>
    <col min="3230" max="3230" width="32.7109375" style="5" customWidth="1"/>
    <col min="3231" max="3244" width="8.7109375" style="5" customWidth="1"/>
    <col min="3245" max="3245" width="9.85546875" style="5" customWidth="1"/>
    <col min="3246" max="3291" width="11.42578125" style="5"/>
    <col min="3292" max="3292" width="42.140625" style="5" customWidth="1"/>
    <col min="3293" max="3296" width="13.7109375" style="5" customWidth="1"/>
    <col min="3297" max="3304" width="12.140625" style="5" bestFit="1" customWidth="1"/>
    <col min="3305" max="3485" width="11.42578125" style="5"/>
    <col min="3486" max="3486" width="32.7109375" style="5" customWidth="1"/>
    <col min="3487" max="3500" width="8.7109375" style="5" customWidth="1"/>
    <col min="3501" max="3501" width="9.85546875" style="5" customWidth="1"/>
    <col min="3502" max="3547" width="11.42578125" style="5"/>
    <col min="3548" max="3548" width="42.140625" style="5" customWidth="1"/>
    <col min="3549" max="3552" width="13.7109375" style="5" customWidth="1"/>
    <col min="3553" max="3560" width="12.140625" style="5" bestFit="1" customWidth="1"/>
    <col min="3561" max="3741" width="11.42578125" style="5"/>
    <col min="3742" max="3742" width="32.7109375" style="5" customWidth="1"/>
    <col min="3743" max="3756" width="8.7109375" style="5" customWidth="1"/>
    <col min="3757" max="3757" width="9.85546875" style="5" customWidth="1"/>
    <col min="3758" max="3803" width="11.42578125" style="5"/>
    <col min="3804" max="3804" width="42.140625" style="5" customWidth="1"/>
    <col min="3805" max="3808" width="13.7109375" style="5" customWidth="1"/>
    <col min="3809" max="3816" width="12.140625" style="5" bestFit="1" customWidth="1"/>
    <col min="3817" max="3997" width="11.42578125" style="5"/>
    <col min="3998" max="3998" width="32.7109375" style="5" customWidth="1"/>
    <col min="3999" max="4012" width="8.7109375" style="5" customWidth="1"/>
    <col min="4013" max="4013" width="9.85546875" style="5" customWidth="1"/>
    <col min="4014" max="4059" width="11.42578125" style="5"/>
    <col min="4060" max="4060" width="42.140625" style="5" customWidth="1"/>
    <col min="4061" max="4064" width="13.7109375" style="5" customWidth="1"/>
    <col min="4065" max="4072" width="12.140625" style="5" bestFit="1" customWidth="1"/>
    <col min="4073" max="4253" width="11.42578125" style="5"/>
    <col min="4254" max="4254" width="32.7109375" style="5" customWidth="1"/>
    <col min="4255" max="4268" width="8.7109375" style="5" customWidth="1"/>
    <col min="4269" max="4269" width="9.85546875" style="5" customWidth="1"/>
    <col min="4270" max="4315" width="11.42578125" style="5"/>
    <col min="4316" max="4316" width="42.140625" style="5" customWidth="1"/>
    <col min="4317" max="4320" width="13.7109375" style="5" customWidth="1"/>
    <col min="4321" max="4328" width="12.140625" style="5" bestFit="1" customWidth="1"/>
    <col min="4329" max="4509" width="11.42578125" style="5"/>
    <col min="4510" max="4510" width="32.7109375" style="5" customWidth="1"/>
    <col min="4511" max="4524" width="8.7109375" style="5" customWidth="1"/>
    <col min="4525" max="4525" width="9.85546875" style="5" customWidth="1"/>
    <col min="4526" max="4571" width="11.42578125" style="5"/>
    <col min="4572" max="4572" width="42.140625" style="5" customWidth="1"/>
    <col min="4573" max="4576" width="13.7109375" style="5" customWidth="1"/>
    <col min="4577" max="4584" width="12.140625" style="5" bestFit="1" customWidth="1"/>
    <col min="4585" max="4765" width="11.42578125" style="5"/>
    <col min="4766" max="4766" width="32.7109375" style="5" customWidth="1"/>
    <col min="4767" max="4780" width="8.7109375" style="5" customWidth="1"/>
    <col min="4781" max="4781" width="9.85546875" style="5" customWidth="1"/>
    <col min="4782" max="4827" width="11.42578125" style="5"/>
    <col min="4828" max="4828" width="42.140625" style="5" customWidth="1"/>
    <col min="4829" max="4832" width="13.7109375" style="5" customWidth="1"/>
    <col min="4833" max="4840" width="12.140625" style="5" bestFit="1" customWidth="1"/>
    <col min="4841" max="5021" width="11.42578125" style="5"/>
    <col min="5022" max="5022" width="32.7109375" style="5" customWidth="1"/>
    <col min="5023" max="5036" width="8.7109375" style="5" customWidth="1"/>
    <col min="5037" max="5037" width="9.85546875" style="5" customWidth="1"/>
    <col min="5038" max="5083" width="11.42578125" style="5"/>
    <col min="5084" max="5084" width="42.140625" style="5" customWidth="1"/>
    <col min="5085" max="5088" width="13.7109375" style="5" customWidth="1"/>
    <col min="5089" max="5096" width="12.140625" style="5" bestFit="1" customWidth="1"/>
    <col min="5097" max="5277" width="11.42578125" style="5"/>
    <col min="5278" max="5278" width="32.7109375" style="5" customWidth="1"/>
    <col min="5279" max="5292" width="8.7109375" style="5" customWidth="1"/>
    <col min="5293" max="5293" width="9.85546875" style="5" customWidth="1"/>
    <col min="5294" max="5339" width="11.42578125" style="5"/>
    <col min="5340" max="5340" width="42.140625" style="5" customWidth="1"/>
    <col min="5341" max="5344" width="13.7109375" style="5" customWidth="1"/>
    <col min="5345" max="5352" width="12.140625" style="5" bestFit="1" customWidth="1"/>
    <col min="5353" max="5533" width="11.42578125" style="5"/>
    <col min="5534" max="5534" width="32.7109375" style="5" customWidth="1"/>
    <col min="5535" max="5548" width="8.7109375" style="5" customWidth="1"/>
    <col min="5549" max="5549" width="9.85546875" style="5" customWidth="1"/>
    <col min="5550" max="5595" width="11.42578125" style="5"/>
    <col min="5596" max="5596" width="42.140625" style="5" customWidth="1"/>
    <col min="5597" max="5600" width="13.7109375" style="5" customWidth="1"/>
    <col min="5601" max="5608" width="12.140625" style="5" bestFit="1" customWidth="1"/>
    <col min="5609" max="5789" width="11.42578125" style="5"/>
    <col min="5790" max="5790" width="32.7109375" style="5" customWidth="1"/>
    <col min="5791" max="5804" width="8.7109375" style="5" customWidth="1"/>
    <col min="5805" max="5805" width="9.85546875" style="5" customWidth="1"/>
    <col min="5806" max="5851" width="11.42578125" style="5"/>
    <col min="5852" max="5852" width="42.140625" style="5" customWidth="1"/>
    <col min="5853" max="5856" width="13.7109375" style="5" customWidth="1"/>
    <col min="5857" max="5864" width="12.140625" style="5" bestFit="1" customWidth="1"/>
    <col min="5865" max="6045" width="11.42578125" style="5"/>
    <col min="6046" max="6046" width="32.7109375" style="5" customWidth="1"/>
    <col min="6047" max="6060" width="8.7109375" style="5" customWidth="1"/>
    <col min="6061" max="6061" width="9.85546875" style="5" customWidth="1"/>
    <col min="6062" max="6107" width="11.42578125" style="5"/>
    <col min="6108" max="6108" width="42.140625" style="5" customWidth="1"/>
    <col min="6109" max="6112" width="13.7109375" style="5" customWidth="1"/>
    <col min="6113" max="6120" width="12.140625" style="5" bestFit="1" customWidth="1"/>
    <col min="6121" max="6301" width="11.42578125" style="5"/>
    <col min="6302" max="6302" width="32.7109375" style="5" customWidth="1"/>
    <col min="6303" max="6316" width="8.7109375" style="5" customWidth="1"/>
    <col min="6317" max="6317" width="9.85546875" style="5" customWidth="1"/>
    <col min="6318" max="6363" width="11.42578125" style="5"/>
    <col min="6364" max="6364" width="42.140625" style="5" customWidth="1"/>
    <col min="6365" max="6368" width="13.7109375" style="5" customWidth="1"/>
    <col min="6369" max="6376" width="12.140625" style="5" bestFit="1" customWidth="1"/>
    <col min="6377" max="6557" width="11.42578125" style="5"/>
    <col min="6558" max="6558" width="32.7109375" style="5" customWidth="1"/>
    <col min="6559" max="6572" width="8.7109375" style="5" customWidth="1"/>
    <col min="6573" max="6573" width="9.85546875" style="5" customWidth="1"/>
    <col min="6574" max="6619" width="11.42578125" style="5"/>
    <col min="6620" max="6620" width="42.140625" style="5" customWidth="1"/>
    <col min="6621" max="6624" width="13.7109375" style="5" customWidth="1"/>
    <col min="6625" max="6632" width="12.140625" style="5" bestFit="1" customWidth="1"/>
    <col min="6633" max="6813" width="11.42578125" style="5"/>
    <col min="6814" max="6814" width="32.7109375" style="5" customWidth="1"/>
    <col min="6815" max="6828" width="8.7109375" style="5" customWidth="1"/>
    <col min="6829" max="6829" width="9.85546875" style="5" customWidth="1"/>
    <col min="6830" max="6875" width="11.42578125" style="5"/>
    <col min="6876" max="6876" width="42.140625" style="5" customWidth="1"/>
    <col min="6877" max="6880" width="13.7109375" style="5" customWidth="1"/>
    <col min="6881" max="6888" width="12.140625" style="5" bestFit="1" customWidth="1"/>
    <col min="6889" max="7069" width="11.42578125" style="5"/>
    <col min="7070" max="7070" width="32.7109375" style="5" customWidth="1"/>
    <col min="7071" max="7084" width="8.7109375" style="5" customWidth="1"/>
    <col min="7085" max="7085" width="9.85546875" style="5" customWidth="1"/>
    <col min="7086" max="7131" width="11.42578125" style="5"/>
    <col min="7132" max="7132" width="42.140625" style="5" customWidth="1"/>
    <col min="7133" max="7136" width="13.7109375" style="5" customWidth="1"/>
    <col min="7137" max="7144" width="12.140625" style="5" bestFit="1" customWidth="1"/>
    <col min="7145" max="7325" width="11.42578125" style="5"/>
    <col min="7326" max="7326" width="32.7109375" style="5" customWidth="1"/>
    <col min="7327" max="7340" width="8.7109375" style="5" customWidth="1"/>
    <col min="7341" max="7341" width="9.85546875" style="5" customWidth="1"/>
    <col min="7342" max="7387" width="11.42578125" style="5"/>
    <col min="7388" max="7388" width="42.140625" style="5" customWidth="1"/>
    <col min="7389" max="7392" width="13.7109375" style="5" customWidth="1"/>
    <col min="7393" max="7400" width="12.140625" style="5" bestFit="1" customWidth="1"/>
    <col min="7401" max="7581" width="11.42578125" style="5"/>
    <col min="7582" max="7582" width="32.7109375" style="5" customWidth="1"/>
    <col min="7583" max="7596" width="8.7109375" style="5" customWidth="1"/>
    <col min="7597" max="7597" width="9.85546875" style="5" customWidth="1"/>
    <col min="7598" max="7643" width="11.42578125" style="5"/>
    <col min="7644" max="7644" width="42.140625" style="5" customWidth="1"/>
    <col min="7645" max="7648" width="13.7109375" style="5" customWidth="1"/>
    <col min="7649" max="7656" width="12.140625" style="5" bestFit="1" customWidth="1"/>
    <col min="7657" max="7837" width="11.42578125" style="5"/>
    <col min="7838" max="7838" width="32.7109375" style="5" customWidth="1"/>
    <col min="7839" max="7852" width="8.7109375" style="5" customWidth="1"/>
    <col min="7853" max="7853" width="9.85546875" style="5" customWidth="1"/>
    <col min="7854" max="7899" width="11.42578125" style="5"/>
    <col min="7900" max="7900" width="42.140625" style="5" customWidth="1"/>
    <col min="7901" max="7904" width="13.7109375" style="5" customWidth="1"/>
    <col min="7905" max="7912" width="12.140625" style="5" bestFit="1" customWidth="1"/>
    <col min="7913" max="8093" width="11.42578125" style="5"/>
    <col min="8094" max="8094" width="32.7109375" style="5" customWidth="1"/>
    <col min="8095" max="8108" width="8.7109375" style="5" customWidth="1"/>
    <col min="8109" max="8109" width="9.85546875" style="5" customWidth="1"/>
    <col min="8110" max="8155" width="11.42578125" style="5"/>
    <col min="8156" max="8156" width="42.140625" style="5" customWidth="1"/>
    <col min="8157" max="8160" width="13.7109375" style="5" customWidth="1"/>
    <col min="8161" max="8168" width="12.140625" style="5" bestFit="1" customWidth="1"/>
    <col min="8169" max="8349" width="11.42578125" style="5"/>
    <col min="8350" max="8350" width="32.7109375" style="5" customWidth="1"/>
    <col min="8351" max="8364" width="8.7109375" style="5" customWidth="1"/>
    <col min="8365" max="8365" width="9.85546875" style="5" customWidth="1"/>
    <col min="8366" max="8411" width="11.42578125" style="5"/>
    <col min="8412" max="8412" width="42.140625" style="5" customWidth="1"/>
    <col min="8413" max="8416" width="13.7109375" style="5" customWidth="1"/>
    <col min="8417" max="8424" width="12.140625" style="5" bestFit="1" customWidth="1"/>
    <col min="8425" max="8605" width="11.42578125" style="5"/>
    <col min="8606" max="8606" width="32.7109375" style="5" customWidth="1"/>
    <col min="8607" max="8620" width="8.7109375" style="5" customWidth="1"/>
    <col min="8621" max="8621" width="9.85546875" style="5" customWidth="1"/>
    <col min="8622" max="8667" width="11.42578125" style="5"/>
    <col min="8668" max="8668" width="42.140625" style="5" customWidth="1"/>
    <col min="8669" max="8672" width="13.7109375" style="5" customWidth="1"/>
    <col min="8673" max="8680" width="12.140625" style="5" bestFit="1" customWidth="1"/>
    <col min="8681" max="8861" width="11.42578125" style="5"/>
    <col min="8862" max="8862" width="32.7109375" style="5" customWidth="1"/>
    <col min="8863" max="8876" width="8.7109375" style="5" customWidth="1"/>
    <col min="8877" max="8877" width="9.85546875" style="5" customWidth="1"/>
    <col min="8878" max="8923" width="11.42578125" style="5"/>
    <col min="8924" max="8924" width="42.140625" style="5" customWidth="1"/>
    <col min="8925" max="8928" width="13.7109375" style="5" customWidth="1"/>
    <col min="8929" max="8936" width="12.140625" style="5" bestFit="1" customWidth="1"/>
    <col min="8937" max="9117" width="11.42578125" style="5"/>
    <col min="9118" max="9118" width="32.7109375" style="5" customWidth="1"/>
    <col min="9119" max="9132" width="8.7109375" style="5" customWidth="1"/>
    <col min="9133" max="9133" width="9.85546875" style="5" customWidth="1"/>
    <col min="9134" max="9179" width="11.42578125" style="5"/>
    <col min="9180" max="9180" width="42.140625" style="5" customWidth="1"/>
    <col min="9181" max="9184" width="13.7109375" style="5" customWidth="1"/>
    <col min="9185" max="9192" width="12.140625" style="5" bestFit="1" customWidth="1"/>
    <col min="9193" max="9373" width="11.42578125" style="5"/>
    <col min="9374" max="9374" width="32.7109375" style="5" customWidth="1"/>
    <col min="9375" max="9388" width="8.7109375" style="5" customWidth="1"/>
    <col min="9389" max="9389" width="9.85546875" style="5" customWidth="1"/>
    <col min="9390" max="9435" width="11.42578125" style="5"/>
    <col min="9436" max="9436" width="42.140625" style="5" customWidth="1"/>
    <col min="9437" max="9440" width="13.7109375" style="5" customWidth="1"/>
    <col min="9441" max="9448" width="12.140625" style="5" bestFit="1" customWidth="1"/>
    <col min="9449" max="9629" width="11.42578125" style="5"/>
    <col min="9630" max="9630" width="32.7109375" style="5" customWidth="1"/>
    <col min="9631" max="9644" width="8.7109375" style="5" customWidth="1"/>
    <col min="9645" max="9645" width="9.85546875" style="5" customWidth="1"/>
    <col min="9646" max="9691" width="11.42578125" style="5"/>
    <col min="9692" max="9692" width="42.140625" style="5" customWidth="1"/>
    <col min="9693" max="9696" width="13.7109375" style="5" customWidth="1"/>
    <col min="9697" max="9704" width="12.140625" style="5" bestFit="1" customWidth="1"/>
    <col min="9705" max="9885" width="11.42578125" style="5"/>
    <col min="9886" max="9886" width="32.7109375" style="5" customWidth="1"/>
    <col min="9887" max="9900" width="8.7109375" style="5" customWidth="1"/>
    <col min="9901" max="9901" width="9.85546875" style="5" customWidth="1"/>
    <col min="9902" max="9947" width="11.42578125" style="5"/>
    <col min="9948" max="9948" width="42.140625" style="5" customWidth="1"/>
    <col min="9949" max="9952" width="13.7109375" style="5" customWidth="1"/>
    <col min="9953" max="9960" width="12.140625" style="5" bestFit="1" customWidth="1"/>
    <col min="9961" max="10141" width="11.42578125" style="5"/>
    <col min="10142" max="10142" width="32.7109375" style="5" customWidth="1"/>
    <col min="10143" max="10156" width="8.7109375" style="5" customWidth="1"/>
    <col min="10157" max="10157" width="9.85546875" style="5" customWidth="1"/>
    <col min="10158" max="10203" width="11.42578125" style="5"/>
    <col min="10204" max="10204" width="42.140625" style="5" customWidth="1"/>
    <col min="10205" max="10208" width="13.7109375" style="5" customWidth="1"/>
    <col min="10209" max="10216" width="12.140625" style="5" bestFit="1" customWidth="1"/>
    <col min="10217" max="10397" width="11.42578125" style="5"/>
    <col min="10398" max="10398" width="32.7109375" style="5" customWidth="1"/>
    <col min="10399" max="10412" width="8.7109375" style="5" customWidth="1"/>
    <col min="10413" max="10413" width="9.85546875" style="5" customWidth="1"/>
    <col min="10414" max="10459" width="11.42578125" style="5"/>
    <col min="10460" max="10460" width="42.140625" style="5" customWidth="1"/>
    <col min="10461" max="10464" width="13.7109375" style="5" customWidth="1"/>
    <col min="10465" max="10472" width="12.140625" style="5" bestFit="1" customWidth="1"/>
    <col min="10473" max="10653" width="11.42578125" style="5"/>
    <col min="10654" max="10654" width="32.7109375" style="5" customWidth="1"/>
    <col min="10655" max="10668" width="8.7109375" style="5" customWidth="1"/>
    <col min="10669" max="10669" width="9.85546875" style="5" customWidth="1"/>
    <col min="10670" max="10715" width="11.42578125" style="5"/>
    <col min="10716" max="10716" width="42.140625" style="5" customWidth="1"/>
    <col min="10717" max="10720" width="13.7109375" style="5" customWidth="1"/>
    <col min="10721" max="10728" width="12.140625" style="5" bestFit="1" customWidth="1"/>
    <col min="10729" max="10909" width="11.42578125" style="5"/>
    <col min="10910" max="10910" width="32.7109375" style="5" customWidth="1"/>
    <col min="10911" max="10924" width="8.7109375" style="5" customWidth="1"/>
    <col min="10925" max="10925" width="9.85546875" style="5" customWidth="1"/>
    <col min="10926" max="10971" width="11.42578125" style="5"/>
    <col min="10972" max="10972" width="42.140625" style="5" customWidth="1"/>
    <col min="10973" max="10976" width="13.7109375" style="5" customWidth="1"/>
    <col min="10977" max="10984" width="12.140625" style="5" bestFit="1" customWidth="1"/>
    <col min="10985" max="11165" width="11.42578125" style="5"/>
    <col min="11166" max="11166" width="32.7109375" style="5" customWidth="1"/>
    <col min="11167" max="11180" width="8.7109375" style="5" customWidth="1"/>
    <col min="11181" max="11181" width="9.85546875" style="5" customWidth="1"/>
    <col min="11182" max="11227" width="11.42578125" style="5"/>
    <col min="11228" max="11228" width="42.140625" style="5" customWidth="1"/>
    <col min="11229" max="11232" width="13.7109375" style="5" customWidth="1"/>
    <col min="11233" max="11240" width="12.140625" style="5" bestFit="1" customWidth="1"/>
    <col min="11241" max="11421" width="11.42578125" style="5"/>
    <col min="11422" max="11422" width="32.7109375" style="5" customWidth="1"/>
    <col min="11423" max="11436" width="8.7109375" style="5" customWidth="1"/>
    <col min="11437" max="11437" width="9.85546875" style="5" customWidth="1"/>
    <col min="11438" max="11483" width="11.42578125" style="5"/>
    <col min="11484" max="11484" width="42.140625" style="5" customWidth="1"/>
    <col min="11485" max="11488" width="13.7109375" style="5" customWidth="1"/>
    <col min="11489" max="11496" width="12.140625" style="5" bestFit="1" customWidth="1"/>
    <col min="11497" max="11677" width="11.42578125" style="5"/>
    <col min="11678" max="11678" width="32.7109375" style="5" customWidth="1"/>
    <col min="11679" max="11692" width="8.7109375" style="5" customWidth="1"/>
    <col min="11693" max="11693" width="9.85546875" style="5" customWidth="1"/>
    <col min="11694" max="11739" width="11.42578125" style="5"/>
    <col min="11740" max="11740" width="42.140625" style="5" customWidth="1"/>
    <col min="11741" max="11744" width="13.7109375" style="5" customWidth="1"/>
    <col min="11745" max="11752" width="12.140625" style="5" bestFit="1" customWidth="1"/>
    <col min="11753" max="11933" width="11.42578125" style="5"/>
    <col min="11934" max="11934" width="32.7109375" style="5" customWidth="1"/>
    <col min="11935" max="11948" width="8.7109375" style="5" customWidth="1"/>
    <col min="11949" max="11949" width="9.85546875" style="5" customWidth="1"/>
    <col min="11950" max="11995" width="11.42578125" style="5"/>
    <col min="11996" max="11996" width="42.140625" style="5" customWidth="1"/>
    <col min="11997" max="12000" width="13.7109375" style="5" customWidth="1"/>
    <col min="12001" max="12008" width="12.140625" style="5" bestFit="1" customWidth="1"/>
    <col min="12009" max="12189" width="11.42578125" style="5"/>
    <col min="12190" max="12190" width="32.7109375" style="5" customWidth="1"/>
    <col min="12191" max="12204" width="8.7109375" style="5" customWidth="1"/>
    <col min="12205" max="12205" width="9.85546875" style="5" customWidth="1"/>
    <col min="12206" max="12251" width="11.42578125" style="5"/>
    <col min="12252" max="12252" width="42.140625" style="5" customWidth="1"/>
    <col min="12253" max="12256" width="13.7109375" style="5" customWidth="1"/>
    <col min="12257" max="12264" width="12.140625" style="5" bestFit="1" customWidth="1"/>
    <col min="12265" max="12445" width="11.42578125" style="5"/>
    <col min="12446" max="12446" width="32.7109375" style="5" customWidth="1"/>
    <col min="12447" max="12460" width="8.7109375" style="5" customWidth="1"/>
    <col min="12461" max="12461" width="9.85546875" style="5" customWidth="1"/>
    <col min="12462" max="12507" width="11.42578125" style="5"/>
    <col min="12508" max="12508" width="42.140625" style="5" customWidth="1"/>
    <col min="12509" max="12512" width="13.7109375" style="5" customWidth="1"/>
    <col min="12513" max="12520" width="12.140625" style="5" bestFit="1" customWidth="1"/>
    <col min="12521" max="12701" width="11.42578125" style="5"/>
    <col min="12702" max="12702" width="32.7109375" style="5" customWidth="1"/>
    <col min="12703" max="12716" width="8.7109375" style="5" customWidth="1"/>
    <col min="12717" max="12717" width="9.85546875" style="5" customWidth="1"/>
    <col min="12718" max="12763" width="11.42578125" style="5"/>
    <col min="12764" max="12764" width="42.140625" style="5" customWidth="1"/>
    <col min="12765" max="12768" width="13.7109375" style="5" customWidth="1"/>
    <col min="12769" max="12776" width="12.140625" style="5" bestFit="1" customWidth="1"/>
    <col min="12777" max="12957" width="11.42578125" style="5"/>
    <col min="12958" max="12958" width="32.7109375" style="5" customWidth="1"/>
    <col min="12959" max="12972" width="8.7109375" style="5" customWidth="1"/>
    <col min="12973" max="12973" width="9.85546875" style="5" customWidth="1"/>
    <col min="12974" max="13019" width="11.42578125" style="5"/>
    <col min="13020" max="13020" width="42.140625" style="5" customWidth="1"/>
    <col min="13021" max="13024" width="13.7109375" style="5" customWidth="1"/>
    <col min="13025" max="13032" width="12.140625" style="5" bestFit="1" customWidth="1"/>
    <col min="13033" max="13213" width="11.42578125" style="5"/>
    <col min="13214" max="13214" width="32.7109375" style="5" customWidth="1"/>
    <col min="13215" max="13228" width="8.7109375" style="5" customWidth="1"/>
    <col min="13229" max="13229" width="9.85546875" style="5" customWidth="1"/>
    <col min="13230" max="13275" width="11.42578125" style="5"/>
    <col min="13276" max="13276" width="42.140625" style="5" customWidth="1"/>
    <col min="13277" max="13280" width="13.7109375" style="5" customWidth="1"/>
    <col min="13281" max="13288" width="12.140625" style="5" bestFit="1" customWidth="1"/>
    <col min="13289" max="13469" width="11.42578125" style="5"/>
    <col min="13470" max="13470" width="32.7109375" style="5" customWidth="1"/>
    <col min="13471" max="13484" width="8.7109375" style="5" customWidth="1"/>
    <col min="13485" max="13485" width="9.85546875" style="5" customWidth="1"/>
    <col min="13486" max="13531" width="11.42578125" style="5"/>
    <col min="13532" max="13532" width="42.140625" style="5" customWidth="1"/>
    <col min="13533" max="13536" width="13.7109375" style="5" customWidth="1"/>
    <col min="13537" max="13544" width="12.140625" style="5" bestFit="1" customWidth="1"/>
    <col min="13545" max="13725" width="11.42578125" style="5"/>
    <col min="13726" max="13726" width="32.7109375" style="5" customWidth="1"/>
    <col min="13727" max="13740" width="8.7109375" style="5" customWidth="1"/>
    <col min="13741" max="13741" width="9.85546875" style="5" customWidth="1"/>
    <col min="13742" max="13787" width="11.42578125" style="5"/>
    <col min="13788" max="13788" width="42.140625" style="5" customWidth="1"/>
    <col min="13789" max="13792" width="13.7109375" style="5" customWidth="1"/>
    <col min="13793" max="13800" width="12.140625" style="5" bestFit="1" customWidth="1"/>
    <col min="13801" max="13981" width="11.42578125" style="5"/>
    <col min="13982" max="13982" width="32.7109375" style="5" customWidth="1"/>
    <col min="13983" max="13996" width="8.7109375" style="5" customWidth="1"/>
    <col min="13997" max="13997" width="9.85546875" style="5" customWidth="1"/>
    <col min="13998" max="14043" width="11.42578125" style="5"/>
    <col min="14044" max="14044" width="42.140625" style="5" customWidth="1"/>
    <col min="14045" max="14048" width="13.7109375" style="5" customWidth="1"/>
    <col min="14049" max="14056" width="12.140625" style="5" bestFit="1" customWidth="1"/>
    <col min="14057" max="14237" width="11.42578125" style="5"/>
    <col min="14238" max="14238" width="32.7109375" style="5" customWidth="1"/>
    <col min="14239" max="14252" width="8.7109375" style="5" customWidth="1"/>
    <col min="14253" max="14253" width="9.85546875" style="5" customWidth="1"/>
    <col min="14254" max="14299" width="11.42578125" style="5"/>
    <col min="14300" max="14300" width="42.140625" style="5" customWidth="1"/>
    <col min="14301" max="14304" width="13.7109375" style="5" customWidth="1"/>
    <col min="14305" max="14312" width="12.140625" style="5" bestFit="1" customWidth="1"/>
    <col min="14313" max="14493" width="11.42578125" style="5"/>
    <col min="14494" max="14494" width="32.7109375" style="5" customWidth="1"/>
    <col min="14495" max="14508" width="8.7109375" style="5" customWidth="1"/>
    <col min="14509" max="14509" width="9.85546875" style="5" customWidth="1"/>
    <col min="14510" max="14555" width="11.42578125" style="5"/>
    <col min="14556" max="14556" width="42.140625" style="5" customWidth="1"/>
    <col min="14557" max="14560" width="13.7109375" style="5" customWidth="1"/>
    <col min="14561" max="14568" width="12.140625" style="5" bestFit="1" customWidth="1"/>
    <col min="14569" max="14749" width="11.42578125" style="5"/>
    <col min="14750" max="14750" width="32.7109375" style="5" customWidth="1"/>
    <col min="14751" max="14764" width="8.7109375" style="5" customWidth="1"/>
    <col min="14765" max="14765" width="9.85546875" style="5" customWidth="1"/>
    <col min="14766" max="14811" width="11.42578125" style="5"/>
    <col min="14812" max="14812" width="42.140625" style="5" customWidth="1"/>
    <col min="14813" max="14816" width="13.7109375" style="5" customWidth="1"/>
    <col min="14817" max="14824" width="12.140625" style="5" bestFit="1" customWidth="1"/>
    <col min="14825" max="15005" width="11.42578125" style="5"/>
    <col min="15006" max="15006" width="32.7109375" style="5" customWidth="1"/>
    <col min="15007" max="15020" width="8.7109375" style="5" customWidth="1"/>
    <col min="15021" max="15021" width="9.85546875" style="5" customWidth="1"/>
    <col min="15022" max="15067" width="11.42578125" style="5"/>
    <col min="15068" max="15068" width="42.140625" style="5" customWidth="1"/>
    <col min="15069" max="15072" width="13.7109375" style="5" customWidth="1"/>
    <col min="15073" max="15080" width="12.140625" style="5" bestFit="1" customWidth="1"/>
    <col min="15081" max="15261" width="11.42578125" style="5"/>
    <col min="15262" max="15262" width="32.7109375" style="5" customWidth="1"/>
    <col min="15263" max="15276" width="8.7109375" style="5" customWidth="1"/>
    <col min="15277" max="15277" width="9.85546875" style="5" customWidth="1"/>
    <col min="15278" max="15323" width="11.42578125" style="5"/>
    <col min="15324" max="15324" width="42.140625" style="5" customWidth="1"/>
    <col min="15325" max="15328" width="13.7109375" style="5" customWidth="1"/>
    <col min="15329" max="15336" width="12.140625" style="5" bestFit="1" customWidth="1"/>
    <col min="15337" max="15517" width="11.42578125" style="5"/>
    <col min="15518" max="15518" width="32.7109375" style="5" customWidth="1"/>
    <col min="15519" max="15532" width="8.7109375" style="5" customWidth="1"/>
    <col min="15533" max="15533" width="9.85546875" style="5" customWidth="1"/>
    <col min="15534" max="15579" width="11.42578125" style="5"/>
    <col min="15580" max="15580" width="42.140625" style="5" customWidth="1"/>
    <col min="15581" max="15584" width="13.7109375" style="5" customWidth="1"/>
    <col min="15585" max="15592" width="12.140625" style="5" bestFit="1" customWidth="1"/>
    <col min="15593" max="15773" width="11.42578125" style="5"/>
    <col min="15774" max="15774" width="32.7109375" style="5" customWidth="1"/>
    <col min="15775" max="15788" width="8.7109375" style="5" customWidth="1"/>
    <col min="15789" max="15789" width="9.85546875" style="5" customWidth="1"/>
    <col min="15790" max="15835" width="11.42578125" style="5"/>
    <col min="15836" max="15836" width="42.140625" style="5" customWidth="1"/>
    <col min="15837" max="15840" width="13.7109375" style="5" customWidth="1"/>
    <col min="15841" max="15848" width="12.140625" style="5" bestFit="1" customWidth="1"/>
    <col min="15849" max="16029" width="11.42578125" style="5"/>
    <col min="16030" max="16030" width="32.7109375" style="5" customWidth="1"/>
    <col min="16031" max="16044" width="8.7109375" style="5" customWidth="1"/>
    <col min="16045" max="16045" width="9.85546875" style="5" customWidth="1"/>
    <col min="16046" max="16091" width="11.42578125" style="5"/>
    <col min="16092" max="16092" width="42.140625" style="5" customWidth="1"/>
    <col min="16093" max="16096" width="13.7109375" style="5" customWidth="1"/>
    <col min="16097" max="16104" width="12.140625" style="5" bestFit="1" customWidth="1"/>
    <col min="16105" max="16285" width="11.42578125" style="5"/>
    <col min="16286" max="16286" width="32.7109375" style="5" customWidth="1"/>
    <col min="16287" max="16300" width="8.7109375" style="5" customWidth="1"/>
    <col min="16301" max="16301" width="9.85546875" style="5" customWidth="1"/>
    <col min="16302" max="16384" width="11.42578125" style="5"/>
  </cols>
  <sheetData>
    <row r="1" spans="1:16" ht="17.25" customHeight="1">
      <c r="A1" s="183" t="s">
        <v>154</v>
      </c>
      <c r="B1" s="169"/>
      <c r="C1" s="169"/>
      <c r="D1" s="169"/>
      <c r="E1" s="169"/>
      <c r="F1" s="169"/>
      <c r="G1" s="169"/>
      <c r="H1" s="169"/>
      <c r="J1" s="193" t="s">
        <v>42</v>
      </c>
      <c r="K1" s="101"/>
      <c r="L1" s="101"/>
    </row>
    <row r="2" spans="1:16" ht="17.25" customHeight="1">
      <c r="A2" s="184" t="s">
        <v>157</v>
      </c>
      <c r="B2" s="170"/>
      <c r="C2" s="170"/>
      <c r="D2" s="170"/>
      <c r="E2" s="170"/>
      <c r="F2" s="170"/>
      <c r="G2" s="170"/>
      <c r="H2" s="170"/>
      <c r="J2" s="193" t="s">
        <v>100</v>
      </c>
      <c r="K2" s="101"/>
      <c r="L2" s="101"/>
    </row>
    <row r="3" spans="1:16" s="101" customFormat="1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89"/>
      <c r="J3" s="193" t="s">
        <v>101</v>
      </c>
    </row>
    <row r="4" spans="1:16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J4" s="193" t="s">
        <v>102</v>
      </c>
      <c r="K4" s="101"/>
      <c r="L4" s="101"/>
    </row>
    <row r="5" spans="1:16" ht="36.75" customHeight="1" thickTop="1">
      <c r="A5" s="217" t="s">
        <v>11</v>
      </c>
      <c r="B5" s="217" t="s">
        <v>150</v>
      </c>
      <c r="C5" s="217"/>
      <c r="D5" s="217"/>
      <c r="E5" s="217"/>
      <c r="F5" s="217"/>
      <c r="G5" s="217"/>
      <c r="H5" s="219"/>
      <c r="J5" s="112"/>
      <c r="K5" s="101"/>
      <c r="L5" s="101"/>
    </row>
    <row r="6" spans="1:16" s="2" customFormat="1" ht="31.5" customHeight="1" thickBot="1">
      <c r="A6" s="218"/>
      <c r="B6" s="119">
        <v>2018</v>
      </c>
      <c r="C6" s="119">
        <v>2019</v>
      </c>
      <c r="D6" s="119">
        <v>2020</v>
      </c>
      <c r="E6" s="119">
        <v>2021</v>
      </c>
      <c r="F6" s="119">
        <v>2022</v>
      </c>
      <c r="G6" s="119" t="s">
        <v>185</v>
      </c>
      <c r="H6" s="120" t="s">
        <v>107</v>
      </c>
      <c r="I6" s="94"/>
      <c r="J6" s="94"/>
    </row>
    <row r="7" spans="1:16" ht="32.25" customHeight="1" thickTop="1">
      <c r="A7" s="3" t="s">
        <v>76</v>
      </c>
      <c r="B7" s="53">
        <f>SUMIFS(DATOS!$F:$F,DATOS!$D:$D,"PIB_01",DATOS!$A:$A,'Cuadro 1'!B$6,DATOS!$B:$B,"B100101",DATOS!$G:$G,"0311",DATOS!$C:$C,"00")</f>
        <v>868.09565494895742</v>
      </c>
      <c r="C7" s="53">
        <f>SUMIFS(DATOS!$F:$F,DATOS!$D:$D,"PIB_01",DATOS!$A:$A,'Cuadro 1'!C$6,DATOS!$B:$B,"B100101",DATOS!$G:$G,"0311",DATOS!$C:$C,"00")</f>
        <v>878.66318411365489</v>
      </c>
      <c r="D7" s="53">
        <f>SUMIFS(DATOS!$F:$F,DATOS!$D:$D,"PIB_01",DATOS!$A:$A,'Cuadro 1'!D$6,DATOS!$B:$B,"B100101",DATOS!$G:$G,"0311",DATOS!$C:$C,"00")</f>
        <v>940.66127092922409</v>
      </c>
      <c r="E7" s="53">
        <f>SUMIFS(DATOS!$F:$F,DATOS!$D:$D,"PIB_01",DATOS!$A:$A,'Cuadro 1'!E$6,DATOS!$B:$B,"B100101",DATOS!$G:$G,"0311",DATOS!$C:$C,"00")</f>
        <v>1075.2605298875483</v>
      </c>
      <c r="F7" s="53">
        <f>SUMIFS(DATOS!$F:$F,DATOS!$D:$D,"PIB_01",DATOS!$A:$A,'Cuadro 1'!F$6,DATOS!$B:$B,"B100101",DATOS!$G:$G,"0311",DATOS!$C:$C,"00")</f>
        <v>1094.1511883352066</v>
      </c>
      <c r="G7" s="53">
        <f>SUMIFS(DATOS!$F:$F,DATOS!$D:$D,"PIB_01",DATOS!$A:$A,'Cuadro 1'!G$6,DATOS!$B:$B,"B100101",DATOS!$G:$G,"0311",DATOS!$C:$C,"00")</f>
        <v>1121.75404834602</v>
      </c>
      <c r="H7" s="53">
        <f>SUMIFS(DATOS!$F:$F,DATOS!$D:$D,"PIB_01",DATOS!$A:$A,'Cuadro 1'!H$6,DATOS!$B:$B,"B100101",DATOS!$G:$G,"0311",DATOS!$C:$C,"00")</f>
        <v>1190.6921627469167</v>
      </c>
      <c r="I7" s="95"/>
      <c r="J7" s="95"/>
      <c r="K7" s="95"/>
      <c r="L7" s="95"/>
      <c r="M7" s="95"/>
      <c r="N7" s="95"/>
      <c r="O7" s="95"/>
    </row>
    <row r="8" spans="1:16" ht="32.25" customHeight="1">
      <c r="A8" s="4" t="s">
        <v>13</v>
      </c>
      <c r="B8" s="53">
        <f>SUMIFS(DATOS!$F:$F,DATOS!$D:$D,"PIB_02",DATOS!$A:$A,'Cuadro 1'!B$6,DATOS!$B:$B,"B100101",DATOS!$G:$G,"0311",DATOS!$C:$C,"00")</f>
        <v>2195.2548687183262</v>
      </c>
      <c r="C8" s="53">
        <f>SUMIFS(DATOS!$F:$F,DATOS!$D:$D,"PIB_02",DATOS!$A:$A,'Cuadro 1'!C$6,DATOS!$B:$B,"B100101",DATOS!$G:$G,"0311",DATOS!$C:$C,"00")</f>
        <v>2121.7615067266538</v>
      </c>
      <c r="D8" s="53">
        <f>SUMIFS(DATOS!$F:$F,DATOS!$D:$D,"PIB_02",DATOS!$A:$A,'Cuadro 1'!D$6,DATOS!$B:$B,"B100101",DATOS!$G:$G,"0311",DATOS!$C:$C,"00")</f>
        <v>1692.5544613076092</v>
      </c>
      <c r="E8" s="53">
        <f>SUMIFS(DATOS!$F:$F,DATOS!$D:$D,"PIB_02",DATOS!$A:$A,'Cuadro 1'!E$6,DATOS!$B:$B,"B100101",DATOS!$G:$G,"0311",DATOS!$C:$C,"00")</f>
        <v>2113.1895788965871</v>
      </c>
      <c r="F8" s="53">
        <f>SUMIFS(DATOS!$F:$F,DATOS!$D:$D,"PIB_02",DATOS!$A:$A,'Cuadro 1'!F$6,DATOS!$B:$B,"B100101",DATOS!$G:$G,"0311",DATOS!$C:$C,"00")</f>
        <v>2227.297424237096</v>
      </c>
      <c r="G8" s="53">
        <f>SUMIFS(DATOS!$F:$F,DATOS!$D:$D,"PIB_02",DATOS!$A:$A,'Cuadro 1'!G$6,DATOS!$B:$B,"B100101",DATOS!$G:$G,"0311",DATOS!$C:$C,"00")</f>
        <v>2267.4689604852797</v>
      </c>
      <c r="H8" s="53">
        <f>SUMIFS(DATOS!$F:$F,DATOS!$D:$D,"PIB_02",DATOS!$A:$A,'Cuadro 1'!H$6,DATOS!$B:$B,"B100101",DATOS!$G:$G,"0311",DATOS!$C:$C,"00")</f>
        <v>2413.723220871163</v>
      </c>
      <c r="I8" s="95"/>
      <c r="J8" s="95"/>
      <c r="K8" s="95"/>
      <c r="L8" s="95"/>
      <c r="M8" s="95"/>
      <c r="N8" s="95"/>
      <c r="O8" s="95"/>
      <c r="P8" s="89"/>
    </row>
    <row r="9" spans="1:16" ht="32.25" customHeight="1">
      <c r="A9" s="4" t="s">
        <v>27</v>
      </c>
      <c r="B9" s="53">
        <f>SUMIFS(DATOS!$F:$F,DATOS!$D:$D,"PIB_03",DATOS!$A:$A,'Cuadro 1'!B$6,DATOS!$B:$B,"B100101",DATOS!$G:$G,"0311",DATOS!$C:$C,"00")</f>
        <v>10425.831231731017</v>
      </c>
      <c r="C9" s="53">
        <f>SUMIFS(DATOS!$F:$F,DATOS!$D:$D,"PIB_03",DATOS!$A:$A,'Cuadro 1'!C$6,DATOS!$B:$B,"B100101",DATOS!$G:$G,"0311",DATOS!$C:$C,"00")</f>
        <v>10487.857385346591</v>
      </c>
      <c r="D9" s="53">
        <f>SUMIFS(DATOS!$F:$F,DATOS!$D:$D,"PIB_03",DATOS!$A:$A,'Cuadro 1'!D$6,DATOS!$B:$B,"B100101",DATOS!$G:$G,"0311",DATOS!$C:$C,"00")</f>
        <v>9091.6596968649483</v>
      </c>
      <c r="E9" s="53">
        <f>SUMIFS(DATOS!$F:$F,DATOS!$D:$D,"PIB_03",DATOS!$A:$A,'Cuadro 1'!E$6,DATOS!$B:$B,"B100101",DATOS!$G:$G,"0311",DATOS!$C:$C,"00")</f>
        <v>10679.611492792366</v>
      </c>
      <c r="F9" s="53">
        <f>SUMIFS(DATOS!$F:$F,DATOS!$D:$D,"PIB_03",DATOS!$A:$A,'Cuadro 1'!F$6,DATOS!$B:$B,"B100101",DATOS!$G:$G,"0311",DATOS!$C:$C,"00")</f>
        <v>12490.037699297338</v>
      </c>
      <c r="G9" s="53">
        <f>SUMIFS(DATOS!$F:$F,DATOS!$D:$D,"PIB_03",DATOS!$A:$A,'Cuadro 1'!G$6,DATOS!$B:$B,"B100101",DATOS!$G:$G,"0311",DATOS!$C:$C,"00")</f>
        <v>11673.276693367514</v>
      </c>
      <c r="H9" s="53">
        <f>SUMIFS(DATOS!$F:$F,DATOS!$D:$D,"PIB_03",DATOS!$A:$A,'Cuadro 1'!H$6,DATOS!$B:$B,"B100101",DATOS!$G:$G,"0311",DATOS!$C:$C,"00")</f>
        <v>8517.2737903209418</v>
      </c>
      <c r="I9" s="95"/>
      <c r="J9" s="95"/>
      <c r="K9" s="95"/>
      <c r="L9" s="95"/>
      <c r="M9" s="95"/>
      <c r="N9" s="95"/>
      <c r="O9" s="95"/>
    </row>
    <row r="10" spans="1:16" ht="32.25" customHeight="1">
      <c r="A10" s="4" t="s">
        <v>77</v>
      </c>
      <c r="B10" s="53">
        <f>SUMIFS(DATOS!$F:$F,DATOS!$D:$D,"PIB_04",DATOS!$A:$A,'Cuadro 1'!B$6,DATOS!$B:$B,"B100101",DATOS!$G:$G,"0311",DATOS!$C:$C,"00")</f>
        <v>3877.9095960471323</v>
      </c>
      <c r="C10" s="53">
        <f>SUMIFS(DATOS!$F:$F,DATOS!$D:$D,"PIB_04",DATOS!$A:$A,'Cuadro 1'!C$6,DATOS!$B:$B,"B100101",DATOS!$G:$G,"0311",DATOS!$C:$C,"00")</f>
        <v>4095.8284103969809</v>
      </c>
      <c r="D10" s="53">
        <f>SUMIFS(DATOS!$F:$F,DATOS!$D:$D,"PIB_04",DATOS!$A:$A,'Cuadro 1'!D$6,DATOS!$B:$B,"B100101",DATOS!$G:$G,"0311",DATOS!$C:$C,"00")</f>
        <v>3581.5862875678718</v>
      </c>
      <c r="E10" s="53">
        <f>SUMIFS(DATOS!$F:$F,DATOS!$D:$D,"PIB_04",DATOS!$A:$A,'Cuadro 1'!E$6,DATOS!$B:$B,"B100101",DATOS!$G:$G,"0311",DATOS!$C:$C,"00")</f>
        <v>4328.5148184014279</v>
      </c>
      <c r="F10" s="53">
        <f>SUMIFS(DATOS!$F:$F,DATOS!$D:$D,"PIB_04",DATOS!$A:$A,'Cuadro 1'!F$6,DATOS!$B:$B,"B100101",DATOS!$G:$G,"0311",DATOS!$C:$C,"00")</f>
        <v>4517.7988276627784</v>
      </c>
      <c r="G10" s="53">
        <f>SUMIFS(DATOS!$F:$F,DATOS!$D:$D,"PIB_04",DATOS!$A:$A,'Cuadro 1'!G$6,DATOS!$B:$B,"B100101",DATOS!$G:$G,"0311",DATOS!$C:$C,"00")</f>
        <v>4762.1553127871603</v>
      </c>
      <c r="H10" s="53">
        <f>SUMIFS(DATOS!$F:$F,DATOS!$D:$D,"PIB_04",DATOS!$A:$A,'Cuadro 1'!H$6,DATOS!$B:$B,"B100101",DATOS!$G:$G,"0311",DATOS!$C:$C,"00")</f>
        <v>5643.1172489350474</v>
      </c>
      <c r="I10" s="95"/>
      <c r="J10" s="95"/>
      <c r="K10" s="95"/>
      <c r="L10" s="95"/>
      <c r="M10" s="95"/>
      <c r="N10" s="95"/>
      <c r="O10" s="95"/>
    </row>
    <row r="11" spans="1:16" ht="32.25" customHeight="1">
      <c r="A11" s="4" t="s">
        <v>71</v>
      </c>
      <c r="B11" s="53">
        <f>SUMIFS(DATOS!$F:$F,DATOS!$D:$D,"PIB_05",DATOS!$A:$A,'Cuadro 1'!B$6,DATOS!$B:$B,"B100101",DATOS!$G:$G,"0311",DATOS!$C:$C,"00")</f>
        <v>239.44310689059691</v>
      </c>
      <c r="C11" s="53">
        <f>SUMIFS(DATOS!$F:$F,DATOS!$D:$D,"PIB_05",DATOS!$A:$A,'Cuadro 1'!C$6,DATOS!$B:$B,"B100101",DATOS!$G:$G,"0311",DATOS!$C:$C,"00")</f>
        <v>249.4051258536681</v>
      </c>
      <c r="D11" s="53">
        <f>SUMIFS(DATOS!$F:$F,DATOS!$D:$D,"PIB_05",DATOS!$A:$A,'Cuadro 1'!D$6,DATOS!$B:$B,"B100101",DATOS!$G:$G,"0311",DATOS!$C:$C,"00")</f>
        <v>248.74890002859851</v>
      </c>
      <c r="E11" s="53">
        <f>SUMIFS(DATOS!$F:$F,DATOS!$D:$D,"PIB_05",DATOS!$A:$A,'Cuadro 1'!E$6,DATOS!$B:$B,"B100101",DATOS!$G:$G,"0311",DATOS!$C:$C,"00")</f>
        <v>269.45587171129893</v>
      </c>
      <c r="F11" s="53">
        <f>SUMIFS(DATOS!$F:$F,DATOS!$D:$D,"PIB_05",DATOS!$A:$A,'Cuadro 1'!F$6,DATOS!$B:$B,"B100101",DATOS!$G:$G,"0311",DATOS!$C:$C,"00")</f>
        <v>272.4979357393604</v>
      </c>
      <c r="G11" s="53">
        <f>SUMIFS(DATOS!$F:$F,DATOS!$D:$D,"PIB_05",DATOS!$A:$A,'Cuadro 1'!G$6,DATOS!$B:$B,"B100101",DATOS!$G:$G,"0311",DATOS!$C:$C,"00")</f>
        <v>318.68725510509177</v>
      </c>
      <c r="H11" s="53">
        <f>SUMIFS(DATOS!$F:$F,DATOS!$D:$D,"PIB_05",DATOS!$A:$A,'Cuadro 1'!H$6,DATOS!$B:$B,"B100101",DATOS!$G:$G,"0311",DATOS!$C:$C,"00")</f>
        <v>325.10434832740174</v>
      </c>
      <c r="I11" s="95"/>
      <c r="J11" s="95"/>
      <c r="K11" s="95"/>
      <c r="L11" s="95"/>
      <c r="M11" s="95"/>
      <c r="N11" s="95"/>
      <c r="O11" s="95"/>
    </row>
    <row r="12" spans="1:16" ht="32.25" customHeight="1">
      <c r="A12" s="3" t="s">
        <v>17</v>
      </c>
      <c r="B12" s="53">
        <f>SUMIFS(DATOS!$F:$F,DATOS!$D:$D,"PIB_06",DATOS!$A:$A,'Cuadro 1'!B$6,DATOS!$B:$B,"B100101",DATOS!$G:$G,"0311",DATOS!$C:$C,"00")</f>
        <v>775.25321268901757</v>
      </c>
      <c r="C12" s="53">
        <f>SUMIFS(DATOS!$F:$F,DATOS!$D:$D,"PIB_06",DATOS!$A:$A,'Cuadro 1'!C$6,DATOS!$B:$B,"B100101",DATOS!$G:$G,"0311",DATOS!$C:$C,"00")</f>
        <v>807.03988298341574</v>
      </c>
      <c r="D12" s="53">
        <f>SUMIFS(DATOS!$F:$F,DATOS!$D:$D,"PIB_06",DATOS!$A:$A,'Cuadro 1'!D$6,DATOS!$B:$B,"B100101",DATOS!$G:$G,"0311",DATOS!$C:$C,"00")</f>
        <v>729.79025367602492</v>
      </c>
      <c r="E12" s="53">
        <f>SUMIFS(DATOS!$F:$F,DATOS!$D:$D,"PIB_06",DATOS!$A:$A,'Cuadro 1'!E$6,DATOS!$B:$B,"B100101",DATOS!$G:$G,"0311",DATOS!$C:$C,"00")</f>
        <v>834.2393636241269</v>
      </c>
      <c r="F12" s="53">
        <f>SUMIFS(DATOS!$F:$F,DATOS!$D:$D,"PIB_06",DATOS!$A:$A,'Cuadro 1'!F$6,DATOS!$B:$B,"B100101",DATOS!$G:$G,"0311",DATOS!$C:$C,"00")</f>
        <v>907.51349457873107</v>
      </c>
      <c r="G12" s="53">
        <f>SUMIFS(DATOS!$F:$F,DATOS!$D:$D,"PIB_06",DATOS!$A:$A,'Cuadro 1'!G$6,DATOS!$B:$B,"B100101",DATOS!$G:$G,"0311",DATOS!$C:$C,"00")</f>
        <v>918.09256048577367</v>
      </c>
      <c r="H12" s="53">
        <f>SUMIFS(DATOS!$F:$F,DATOS!$D:$D,"PIB_06",DATOS!$A:$A,'Cuadro 1'!H$6,DATOS!$B:$B,"B100101",DATOS!$G:$G,"0311",DATOS!$C:$C,"00")</f>
        <v>1038.2645663114329</v>
      </c>
      <c r="I12" s="95"/>
      <c r="J12" s="95"/>
      <c r="K12" s="95"/>
      <c r="L12" s="95"/>
      <c r="M12" s="95"/>
      <c r="N12" s="95"/>
      <c r="O12" s="95"/>
    </row>
    <row r="13" spans="1:16" ht="32.25" customHeight="1">
      <c r="A13" s="3" t="s">
        <v>18</v>
      </c>
      <c r="B13" s="53">
        <f>SUMIFS(DATOS!$F:$F,DATOS!$D:$D,"PIB_07",DATOS!$A:$A,'Cuadro 1'!B$6,DATOS!$B:$B,"B100101",DATOS!$G:$G,"0311",DATOS!$C:$C,"00")</f>
        <v>716.18464352428941</v>
      </c>
      <c r="C13" s="53">
        <f>SUMIFS(DATOS!$F:$F,DATOS!$D:$D,"PIB_07",DATOS!$A:$A,'Cuadro 1'!C$6,DATOS!$B:$B,"B100101",DATOS!$G:$G,"0311",DATOS!$C:$C,"00")</f>
        <v>890.30269824538379</v>
      </c>
      <c r="D13" s="53">
        <f>SUMIFS(DATOS!$F:$F,DATOS!$D:$D,"PIB_07",DATOS!$A:$A,'Cuadro 1'!D$6,DATOS!$B:$B,"B100101",DATOS!$G:$G,"0311",DATOS!$C:$C,"00")</f>
        <v>756.73923563175981</v>
      </c>
      <c r="E13" s="53">
        <f>SUMIFS(DATOS!$F:$F,DATOS!$D:$D,"PIB_07",DATOS!$A:$A,'Cuadro 1'!E$6,DATOS!$B:$B,"B100101",DATOS!$G:$G,"0311",DATOS!$C:$C,"00")</f>
        <v>849.0170320966796</v>
      </c>
      <c r="F13" s="53">
        <f>SUMIFS(DATOS!$F:$F,DATOS!$D:$D,"PIB_07",DATOS!$A:$A,'Cuadro 1'!F$6,DATOS!$B:$B,"B100101",DATOS!$G:$G,"0311",DATOS!$C:$C,"00")</f>
        <v>931.24823307148608</v>
      </c>
      <c r="G13" s="53">
        <f>SUMIFS(DATOS!$F:$F,DATOS!$D:$D,"PIB_07",DATOS!$A:$A,'Cuadro 1'!G$6,DATOS!$B:$B,"B100101",DATOS!$G:$G,"0311",DATOS!$C:$C,"00")</f>
        <v>877.77778389244804</v>
      </c>
      <c r="H13" s="53">
        <f>SUMIFS(DATOS!$F:$F,DATOS!$D:$D,"PIB_07",DATOS!$A:$A,'Cuadro 1'!H$6,DATOS!$B:$B,"B100101",DATOS!$G:$G,"0311",DATOS!$C:$C,"00")</f>
        <v>1007.3082966291034</v>
      </c>
      <c r="I13" s="95"/>
      <c r="J13" s="95"/>
      <c r="K13" s="95"/>
      <c r="L13" s="95"/>
      <c r="M13" s="95"/>
      <c r="N13" s="95"/>
      <c r="O13" s="95"/>
    </row>
    <row r="14" spans="1:16" ht="32.25" customHeight="1">
      <c r="A14" s="3" t="s">
        <v>19</v>
      </c>
      <c r="B14" s="53">
        <f>SUMIFS(DATOS!$F:$F,DATOS!$D:$D,"PIB_08",DATOS!$A:$A,'Cuadro 1'!B$6,DATOS!$B:$B,"B100101",DATOS!$G:$G,"0311",DATOS!$C:$C,"00")</f>
        <v>40292.867705261029</v>
      </c>
      <c r="C14" s="53">
        <f>SUMIFS(DATOS!$F:$F,DATOS!$D:$D,"PIB_08",DATOS!$A:$A,'Cuadro 1'!C$6,DATOS!$B:$B,"B100101",DATOS!$G:$G,"0311",DATOS!$C:$C,"00")</f>
        <v>41076.964458403367</v>
      </c>
      <c r="D14" s="53">
        <f>SUMIFS(DATOS!$F:$F,DATOS!$D:$D,"PIB_08",DATOS!$A:$A,'Cuadro 1'!D$6,DATOS!$B:$B,"B100101",DATOS!$G:$G,"0311",DATOS!$C:$C,"00")</f>
        <v>32358.685560287253</v>
      </c>
      <c r="E14" s="53">
        <f>SUMIFS(DATOS!$F:$F,DATOS!$D:$D,"PIB_08",DATOS!$A:$A,'Cuadro 1'!E$6,DATOS!$B:$B,"B100101",DATOS!$G:$G,"0311",DATOS!$C:$C,"00")</f>
        <v>37620.691377709096</v>
      </c>
      <c r="F14" s="53">
        <f>SUMIFS(DATOS!$F:$F,DATOS!$D:$D,"PIB_08",DATOS!$A:$A,'Cuadro 1'!F$6,DATOS!$B:$B,"B100101",DATOS!$G:$G,"0311",DATOS!$C:$C,"00")</f>
        <v>41806.893363845236</v>
      </c>
      <c r="G14" s="53">
        <f>SUMIFS(DATOS!$F:$F,DATOS!$D:$D,"PIB_08",DATOS!$A:$A,'Cuadro 1'!G$6,DATOS!$B:$B,"B100101",DATOS!$G:$G,"0311",DATOS!$C:$C,"00")</f>
        <v>46439.115186568888</v>
      </c>
      <c r="H14" s="53">
        <f>SUMIFS(DATOS!$F:$F,DATOS!$D:$D,"PIB_08",DATOS!$A:$A,'Cuadro 1'!H$6,DATOS!$B:$B,"B100101",DATOS!$G:$G,"0311",DATOS!$C:$C,"00")</f>
        <v>48758.348309249363</v>
      </c>
      <c r="I14" s="95"/>
      <c r="J14" s="95"/>
      <c r="K14" s="95"/>
      <c r="L14" s="95"/>
      <c r="M14" s="95"/>
      <c r="N14" s="95"/>
      <c r="O14" s="95"/>
    </row>
    <row r="15" spans="1:16" ht="32.25" customHeight="1">
      <c r="A15" s="3" t="s">
        <v>24</v>
      </c>
      <c r="B15" s="53">
        <f>SUMIFS(DATOS!$F:$F,DATOS!$D:$D,"PIB_13",DATOS!$A:$A,'Cuadro 1'!B$6,DATOS!$B:$B,"B100101",DATOS!$G:$G,"0311",DATOS!$C:$C,"00")</f>
        <v>6139.7846957090223</v>
      </c>
      <c r="C15" s="53">
        <f>SUMIFS(DATOS!$F:$F,DATOS!$D:$D,"PIB_13",DATOS!$A:$A,'Cuadro 1'!C$6,DATOS!$B:$B,"B100101",DATOS!$G:$G,"0311",DATOS!$C:$C,"00")</f>
        <v>7033.424363567764</v>
      </c>
      <c r="D15" s="53">
        <f>SUMIFS(DATOS!$F:$F,DATOS!$D:$D,"PIB_13",DATOS!$A:$A,'Cuadro 1'!D$6,DATOS!$B:$B,"B100101",DATOS!$G:$G,"0311",DATOS!$C:$C,"00")</f>
        <v>6053.690921184234</v>
      </c>
      <c r="E15" s="53">
        <f>SUMIFS(DATOS!$F:$F,DATOS!$D:$D,"PIB_13",DATOS!$A:$A,'Cuadro 1'!E$6,DATOS!$B:$B,"B100101",DATOS!$G:$G,"0311",DATOS!$C:$C,"00")</f>
        <v>6813.5673938295749</v>
      </c>
      <c r="F15" s="53">
        <f>SUMIFS(DATOS!$F:$F,DATOS!$D:$D,"PIB_13",DATOS!$A:$A,'Cuadro 1'!F$6,DATOS!$B:$B,"B100101",DATOS!$G:$G,"0311",DATOS!$C:$C,"00")</f>
        <v>7551.4637552564955</v>
      </c>
      <c r="G15" s="53">
        <f>SUMIFS(DATOS!$F:$F,DATOS!$D:$D,"PIB_13",DATOS!$A:$A,'Cuadro 1'!G$6,DATOS!$B:$B,"B100101",DATOS!$G:$G,"0311",DATOS!$C:$C,"00")</f>
        <v>8649.6593922623488</v>
      </c>
      <c r="H15" s="53">
        <f>SUMIFS(DATOS!$F:$F,DATOS!$D:$D,"PIB_13",DATOS!$A:$A,'Cuadro 1'!H$6,DATOS!$B:$B,"B100101",DATOS!$G:$G,"0311",DATOS!$C:$C,"00")</f>
        <v>10686.52401872818</v>
      </c>
      <c r="I15" s="95"/>
      <c r="J15" s="95"/>
      <c r="K15" s="95"/>
      <c r="L15" s="95"/>
      <c r="M15" s="95"/>
      <c r="N15" s="95"/>
      <c r="O15" s="95"/>
    </row>
    <row r="16" spans="1:16" ht="32.25" customHeight="1">
      <c r="A16" s="6" t="s">
        <v>78</v>
      </c>
      <c r="B16" s="53">
        <f>SUMIFS(DATOS!$F:$F,DATOS!$D:$D,"PIB_09",DATOS!$A:$A,'Cuadro 1'!B$6,DATOS!$B:$B,"B100101",DATOS!$G:$G,"0311",DATOS!$C:$C,"00")</f>
        <v>1785.8464657293653</v>
      </c>
      <c r="C16" s="53">
        <f>SUMIFS(DATOS!$F:$F,DATOS!$D:$D,"PIB_09",DATOS!$A:$A,'Cuadro 1'!C$6,DATOS!$B:$B,"B100101",DATOS!$G:$G,"0311",DATOS!$C:$C,"00")</f>
        <v>1764.099996278452</v>
      </c>
      <c r="D16" s="53">
        <f>SUMIFS(DATOS!$F:$F,DATOS!$D:$D,"PIB_09",DATOS!$A:$A,'Cuadro 1'!D$6,DATOS!$B:$B,"B100101",DATOS!$G:$G,"0311",DATOS!$C:$C,"00")</f>
        <v>1596.1777154331687</v>
      </c>
      <c r="E16" s="53">
        <f>SUMIFS(DATOS!$F:$F,DATOS!$D:$D,"PIB_09",DATOS!$A:$A,'Cuadro 1'!E$6,DATOS!$B:$B,"B100101",DATOS!$G:$G,"0311",DATOS!$C:$C,"00")</f>
        <v>1862.870633343091</v>
      </c>
      <c r="F16" s="53">
        <f>SUMIFS(DATOS!$F:$F,DATOS!$D:$D,"PIB_09",DATOS!$A:$A,'Cuadro 1'!F$6,DATOS!$B:$B,"B100101",DATOS!$G:$G,"0311",DATOS!$C:$C,"00")</f>
        <v>1981.489338877936</v>
      </c>
      <c r="G16" s="53">
        <f>SUMIFS(DATOS!$F:$F,DATOS!$D:$D,"PIB_09",DATOS!$A:$A,'Cuadro 1'!G$6,DATOS!$B:$B,"B100101",DATOS!$G:$G,"0311",DATOS!$C:$C,"00")</f>
        <v>2023.9424069488732</v>
      </c>
      <c r="H16" s="53">
        <f>SUMIFS(DATOS!$F:$F,DATOS!$D:$D,"PIB_09",DATOS!$A:$A,'Cuadro 1'!H$6,DATOS!$B:$B,"B100101",DATOS!$G:$G,"0311",DATOS!$C:$C,"00")</f>
        <v>2123.8827711506492</v>
      </c>
      <c r="I16" s="95"/>
      <c r="J16" s="95"/>
      <c r="K16" s="95"/>
      <c r="L16" s="95"/>
      <c r="M16" s="95"/>
      <c r="N16" s="95"/>
      <c r="O16" s="95"/>
    </row>
    <row r="17" spans="1:15" ht="34.5" customHeight="1">
      <c r="A17" s="11" t="s">
        <v>26</v>
      </c>
      <c r="B17" s="54">
        <f>SUMIFS(DATOS!$F:$F,DATOS!$D:$D,"PIB",DATOS!$A:$A,'Cuadro 1'!B$6,DATOS!$B:$B,"B100101",DATOS!$G:$G,"0311",DATOS!$C:$C,"00")</f>
        <v>67316.471181248737</v>
      </c>
      <c r="C17" s="54">
        <f>SUMIFS(DATOS!$F:$F,DATOS!$D:$D,"PIB",DATOS!$A:$A,'Cuadro 1'!C$6,DATOS!$B:$B,"B100101",DATOS!$G:$G,"0311",DATOS!$C:$C,"00")</f>
        <v>69405.347011915917</v>
      </c>
      <c r="D17" s="54">
        <f>SUMIFS(DATOS!$F:$F,DATOS!$D:$D,"PIB",DATOS!$A:$A,'Cuadro 1'!D$6,DATOS!$B:$B,"B100101",DATOS!$G:$G,"0311",DATOS!$C:$C,"00")</f>
        <v>57036.460526150018</v>
      </c>
      <c r="E17" s="54">
        <f>SUMIFS(DATOS!$F:$F,DATOS!$D:$D,"PIB",DATOS!$A:$A,'Cuadro 1'!E$6,DATOS!$B:$B,"B100101",DATOS!$G:$G,"0311",DATOS!$C:$C,"00")</f>
        <v>66428.725696955502</v>
      </c>
      <c r="F17" s="54">
        <f>SUMIFS(DATOS!$F:$F,DATOS!$D:$D,"PIB",DATOS!$A:$A,'Cuadro 1'!F$6,DATOS!$B:$B,"B100101",DATOS!$G:$G,"0311",DATOS!$C:$C,"00")</f>
        <v>73761.492154047432</v>
      </c>
      <c r="G17" s="54">
        <f>SUMIFS(DATOS!$F:$F,DATOS!$D:$D,"PIB",DATOS!$A:$A,'Cuadro 1'!G$6,DATOS!$B:$B,"B100101",DATOS!$G:$G,"0311",DATOS!$C:$C,"00")</f>
        <v>79047.483697155621</v>
      </c>
      <c r="H17" s="54">
        <f>SUMIFS(DATOS!$F:$F,DATOS!$D:$D,"PIB",DATOS!$A:$A,'Cuadro 1'!H$6,DATOS!$B:$B,"B100101",DATOS!$G:$G,"0311",DATOS!$C:$C,"00")</f>
        <v>81219.618004584117</v>
      </c>
      <c r="J17" s="95"/>
      <c r="K17" s="63"/>
    </row>
    <row r="18" spans="1:15" ht="14.25">
      <c r="A18" s="42"/>
      <c r="B18" s="40"/>
      <c r="C18" s="40"/>
      <c r="D18" s="40"/>
      <c r="G18" s="63"/>
      <c r="H18" s="95"/>
      <c r="J18" s="95"/>
      <c r="K18" s="63"/>
    </row>
    <row r="19" spans="1:15" s="101" customFormat="1" ht="20.45" customHeight="1" thickBot="1">
      <c r="A19" s="187" t="s">
        <v>191</v>
      </c>
      <c r="B19" s="188"/>
      <c r="C19" s="188"/>
      <c r="D19" s="188"/>
      <c r="E19" s="188"/>
      <c r="F19" s="188"/>
      <c r="G19" s="188"/>
      <c r="H19" s="186"/>
      <c r="I19" s="89"/>
      <c r="J19" s="89"/>
    </row>
    <row r="20" spans="1:15" ht="36.75" customHeight="1" thickTop="1">
      <c r="A20" s="217" t="s">
        <v>11</v>
      </c>
      <c r="B20" s="217" t="s">
        <v>113</v>
      </c>
      <c r="C20" s="217"/>
      <c r="D20" s="217"/>
      <c r="E20" s="217"/>
      <c r="F20" s="217"/>
      <c r="G20" s="217"/>
      <c r="H20" s="219"/>
    </row>
    <row r="21" spans="1:15" s="2" customFormat="1" ht="31.5" customHeight="1" thickBot="1">
      <c r="A21" s="218"/>
      <c r="B21" s="119">
        <v>2018</v>
      </c>
      <c r="C21" s="119">
        <v>2019</v>
      </c>
      <c r="D21" s="119">
        <v>2020</v>
      </c>
      <c r="E21" s="119">
        <v>2021</v>
      </c>
      <c r="F21" s="119">
        <v>2022</v>
      </c>
      <c r="G21" s="119" t="s">
        <v>185</v>
      </c>
      <c r="H21" s="120" t="s">
        <v>107</v>
      </c>
      <c r="I21" s="94"/>
      <c r="J21" s="94"/>
    </row>
    <row r="22" spans="1:15" ht="32.25" customHeight="1" thickTop="1">
      <c r="A22" s="3" t="s">
        <v>76</v>
      </c>
      <c r="B22" s="53">
        <f>+IFERROR(B7/$B$17*100,"")</f>
        <v>1.2895739181152575</v>
      </c>
      <c r="C22" s="53">
        <f>+IFERROR(C7/$C$17*100,"")</f>
        <v>1.2659877400552451</v>
      </c>
      <c r="D22" s="53">
        <f>+IFERROR(D7/$D$17*100,"")</f>
        <v>1.6492279889947776</v>
      </c>
      <c r="E22" s="53">
        <f>+IFERROR(E7/$E$17*100,"")</f>
        <v>1.6186680063574193</v>
      </c>
      <c r="F22" s="53">
        <f>+IFERROR(F7/$F$17*100,"")</f>
        <v>1.4833636852819123</v>
      </c>
      <c r="G22" s="53">
        <f>+IFERROR(G7/$G$17*100,"")</f>
        <v>1.4190888765588681</v>
      </c>
      <c r="H22" s="110">
        <f>+IFERROR(H7/$H$17*100,"")</f>
        <v>1.4660154676912083</v>
      </c>
      <c r="I22" s="140"/>
      <c r="J22" s="102"/>
      <c r="K22" s="63"/>
      <c r="L22" s="85"/>
      <c r="M22" s="85"/>
      <c r="N22" s="85"/>
      <c r="O22" s="52"/>
    </row>
    <row r="23" spans="1:15" ht="32.25" customHeight="1">
      <c r="A23" s="4" t="s">
        <v>13</v>
      </c>
      <c r="B23" s="53">
        <f t="shared" ref="B23:B32" si="0">+IFERROR(B8/$B$17*100,"")</f>
        <v>3.2610961777952245</v>
      </c>
      <c r="C23" s="53">
        <f t="shared" ref="C23:C32" si="1">+IFERROR(C8/$C$17*100,"")</f>
        <v>3.0570577024308765</v>
      </c>
      <c r="D23" s="53">
        <f t="shared" ref="D23:D32" si="2">+IFERROR(D8/$D$17*100,"")</f>
        <v>2.9674956084128126</v>
      </c>
      <c r="E23" s="53">
        <f t="shared" ref="E23:E32" si="3">+IFERROR(E8/$E$17*100,"")</f>
        <v>3.1811382150198866</v>
      </c>
      <c r="F23" s="53">
        <f t="shared" ref="F23:F32" si="4">+IFERROR(F8/$F$17*100,"")</f>
        <v>3.0195937733817657</v>
      </c>
      <c r="G23" s="53">
        <f t="shared" ref="G23:G32" si="5">+IFERROR(G8/$G$17*100,"")</f>
        <v>2.868489741143867</v>
      </c>
      <c r="H23" s="110">
        <f t="shared" ref="H23:H32" si="6">+IFERROR(H8/$H$17*100,"")</f>
        <v>2.9718475414830565</v>
      </c>
      <c r="I23" s="140"/>
      <c r="J23" s="102"/>
      <c r="K23" s="63"/>
      <c r="L23" s="85"/>
      <c r="M23" s="85"/>
      <c r="N23" s="85"/>
      <c r="O23" s="52"/>
    </row>
    <row r="24" spans="1:15" ht="32.25" customHeight="1">
      <c r="A24" s="4" t="s">
        <v>27</v>
      </c>
      <c r="B24" s="53">
        <f t="shared" si="0"/>
        <v>15.487786345275884</v>
      </c>
      <c r="C24" s="53">
        <f t="shared" si="1"/>
        <v>15.11102218615228</v>
      </c>
      <c r="D24" s="53">
        <f t="shared" si="2"/>
        <v>15.940083962076526</v>
      </c>
      <c r="E24" s="53">
        <f t="shared" si="3"/>
        <v>16.076797169815084</v>
      </c>
      <c r="F24" s="53">
        <f t="shared" si="4"/>
        <v>16.933005738566781</v>
      </c>
      <c r="G24" s="53">
        <f t="shared" si="5"/>
        <v>14.76742351229019</v>
      </c>
      <c r="H24" s="110">
        <f t="shared" si="6"/>
        <v>10.486719833920196</v>
      </c>
      <c r="I24" s="140"/>
      <c r="J24" s="102"/>
      <c r="K24" s="63"/>
      <c r="L24" s="85"/>
      <c r="M24" s="85"/>
      <c r="N24" s="85"/>
      <c r="O24" s="52"/>
    </row>
    <row r="25" spans="1:15" ht="32.25" customHeight="1">
      <c r="A25" s="4" t="s">
        <v>77</v>
      </c>
      <c r="B25" s="53">
        <f t="shared" si="0"/>
        <v>5.7607143214710561</v>
      </c>
      <c r="C25" s="53">
        <f t="shared" si="1"/>
        <v>5.9013153693962295</v>
      </c>
      <c r="D25" s="53">
        <f t="shared" si="2"/>
        <v>6.2794680008690058</v>
      </c>
      <c r="E25" s="53">
        <f t="shared" si="3"/>
        <v>6.5160286803451486</v>
      </c>
      <c r="F25" s="53">
        <f t="shared" si="4"/>
        <v>6.1248745052873481</v>
      </c>
      <c r="G25" s="53">
        <f t="shared" si="5"/>
        <v>6.0244236629110031</v>
      </c>
      <c r="H25" s="110">
        <f t="shared" si="6"/>
        <v>6.9479731468529495</v>
      </c>
      <c r="I25" s="140"/>
      <c r="J25" s="102"/>
      <c r="K25" s="63"/>
      <c r="L25" s="85"/>
      <c r="M25" s="85"/>
      <c r="N25" s="85"/>
      <c r="O25" s="52"/>
    </row>
    <row r="26" spans="1:15" ht="32.25" customHeight="1">
      <c r="A26" s="4" t="s">
        <v>71</v>
      </c>
      <c r="B26" s="53">
        <f t="shared" si="0"/>
        <v>0.35569765124184749</v>
      </c>
      <c r="C26" s="53">
        <f t="shared" si="1"/>
        <v>0.35934569394321847</v>
      </c>
      <c r="D26" s="53">
        <f t="shared" si="2"/>
        <v>0.436122609527203</v>
      </c>
      <c r="E26" s="53">
        <f t="shared" si="3"/>
        <v>0.40563155304309617</v>
      </c>
      <c r="F26" s="53">
        <f t="shared" si="4"/>
        <v>0.36943115951377609</v>
      </c>
      <c r="G26" s="53">
        <f t="shared" si="5"/>
        <v>0.40315926605081698</v>
      </c>
      <c r="H26" s="110">
        <f t="shared" si="6"/>
        <v>0.40027810560381183</v>
      </c>
      <c r="I26" s="140"/>
      <c r="J26" s="102"/>
      <c r="K26" s="63"/>
      <c r="L26" s="85"/>
      <c r="M26" s="85"/>
      <c r="N26" s="85"/>
      <c r="O26" s="52"/>
    </row>
    <row r="27" spans="1:15" ht="32.25" customHeight="1">
      <c r="A27" s="3" t="s">
        <v>17</v>
      </c>
      <c r="B27" s="53">
        <f t="shared" si="0"/>
        <v>1.1516545640095397</v>
      </c>
      <c r="C27" s="53">
        <f t="shared" si="1"/>
        <v>1.1627920869624906</v>
      </c>
      <c r="D27" s="53">
        <f t="shared" si="2"/>
        <v>1.2795153257124561</v>
      </c>
      <c r="E27" s="53">
        <f t="shared" si="3"/>
        <v>1.255841286840101</v>
      </c>
      <c r="F27" s="53">
        <f t="shared" si="4"/>
        <v>1.2303350543443881</v>
      </c>
      <c r="G27" s="53">
        <f t="shared" si="5"/>
        <v>1.1614443844957074</v>
      </c>
      <c r="H27" s="110">
        <f t="shared" si="6"/>
        <v>1.2783420949515327</v>
      </c>
      <c r="I27" s="140"/>
      <c r="J27" s="102"/>
      <c r="K27" s="63"/>
      <c r="L27" s="85"/>
      <c r="M27" s="85"/>
      <c r="N27" s="85"/>
      <c r="O27" s="52"/>
    </row>
    <row r="28" spans="1:15" ht="32.25" customHeight="1">
      <c r="A28" s="3" t="s">
        <v>18</v>
      </c>
      <c r="B28" s="53">
        <f t="shared" si="0"/>
        <v>1.0639069917910158</v>
      </c>
      <c r="C28" s="53">
        <f t="shared" si="1"/>
        <v>1.2827580821583262</v>
      </c>
      <c r="D28" s="53">
        <f t="shared" si="2"/>
        <v>1.3267640184032998</v>
      </c>
      <c r="E28" s="53">
        <f t="shared" si="3"/>
        <v>1.2780871877173325</v>
      </c>
      <c r="F28" s="53">
        <f t="shared" si="4"/>
        <v>1.262512736492122</v>
      </c>
      <c r="G28" s="53">
        <f t="shared" si="5"/>
        <v>1.1104436761774281</v>
      </c>
      <c r="H28" s="110">
        <f t="shared" si="6"/>
        <v>1.2402278185699545</v>
      </c>
      <c r="I28" s="140"/>
      <c r="J28" s="102"/>
      <c r="K28" s="63"/>
      <c r="L28" s="85"/>
      <c r="M28" s="85"/>
      <c r="N28" s="85"/>
      <c r="O28" s="52"/>
    </row>
    <row r="29" spans="1:15" ht="32.25" customHeight="1">
      <c r="A29" s="3" t="s">
        <v>28</v>
      </c>
      <c r="B29" s="53">
        <f t="shared" si="0"/>
        <v>59.855882220523704</v>
      </c>
      <c r="C29" s="53">
        <f t="shared" si="1"/>
        <v>59.184149675602129</v>
      </c>
      <c r="D29" s="53">
        <f t="shared" si="2"/>
        <v>56.733333839065061</v>
      </c>
      <c r="E29" s="53">
        <f t="shared" si="3"/>
        <v>56.63316732784066</v>
      </c>
      <c r="F29" s="53">
        <f t="shared" si="4"/>
        <v>56.6784810650705</v>
      </c>
      <c r="G29" s="53">
        <f t="shared" si="5"/>
        <v>58.74837884085602</v>
      </c>
      <c r="H29" s="110">
        <f t="shared" si="6"/>
        <v>60.032723013419485</v>
      </c>
      <c r="I29" s="140"/>
      <c r="J29" s="102"/>
      <c r="K29" s="63"/>
      <c r="L29" s="85"/>
      <c r="M29" s="85"/>
      <c r="N29" s="85"/>
      <c r="O29" s="52"/>
    </row>
    <row r="30" spans="1:15" ht="32.25" customHeight="1">
      <c r="A30" s="3" t="s">
        <v>20</v>
      </c>
      <c r="B30" s="53">
        <f t="shared" si="0"/>
        <v>9.120776220098838</v>
      </c>
      <c r="C30" s="53">
        <f t="shared" si="1"/>
        <v>10.133836464156319</v>
      </c>
      <c r="D30" s="53">
        <f t="shared" si="2"/>
        <v>10.613721232594269</v>
      </c>
      <c r="E30" s="53">
        <f t="shared" si="3"/>
        <v>10.256959353567501</v>
      </c>
      <c r="F30" s="53">
        <f t="shared" si="4"/>
        <v>10.237677594002053</v>
      </c>
      <c r="G30" s="53">
        <f t="shared" si="5"/>
        <v>10.942358931247789</v>
      </c>
      <c r="H30" s="110">
        <f t="shared" si="6"/>
        <v>13.157564984022729</v>
      </c>
      <c r="I30" s="140"/>
      <c r="J30" s="102"/>
      <c r="K30" s="63"/>
      <c r="L30" s="85"/>
      <c r="M30" s="85"/>
      <c r="N30" s="85"/>
      <c r="O30" s="52"/>
    </row>
    <row r="31" spans="1:15" ht="32.25" customHeight="1">
      <c r="A31" s="6" t="s">
        <v>78</v>
      </c>
      <c r="B31" s="53">
        <f t="shared" si="0"/>
        <v>2.6529115896776534</v>
      </c>
      <c r="C31" s="53">
        <f t="shared" si="1"/>
        <v>2.5417349991429061</v>
      </c>
      <c r="D31" s="53">
        <f t="shared" si="2"/>
        <v>2.7985216836892515</v>
      </c>
      <c r="E31" s="53">
        <f t="shared" si="3"/>
        <v>2.8043148710113948</v>
      </c>
      <c r="F31" s="53">
        <f t="shared" si="4"/>
        <v>2.6863466031024537</v>
      </c>
      <c r="G31" s="53">
        <f t="shared" si="5"/>
        <v>2.5604134531377896</v>
      </c>
      <c r="H31" s="110">
        <f t="shared" si="6"/>
        <v>2.6149873926158764</v>
      </c>
      <c r="I31" s="140"/>
      <c r="J31" s="102"/>
      <c r="K31" s="63"/>
      <c r="L31" s="85"/>
      <c r="M31" s="85"/>
      <c r="N31" s="85"/>
      <c r="O31" s="52"/>
    </row>
    <row r="32" spans="1:15" ht="34.5" customHeight="1">
      <c r="A32" s="11" t="s">
        <v>22</v>
      </c>
      <c r="B32" s="54">
        <f t="shared" si="0"/>
        <v>100</v>
      </c>
      <c r="C32" s="54">
        <f t="shared" si="1"/>
        <v>100</v>
      </c>
      <c r="D32" s="54">
        <f t="shared" si="2"/>
        <v>100</v>
      </c>
      <c r="E32" s="62">
        <f t="shared" si="3"/>
        <v>100</v>
      </c>
      <c r="F32" s="62">
        <f t="shared" si="4"/>
        <v>100</v>
      </c>
      <c r="G32" s="62">
        <f t="shared" si="5"/>
        <v>100</v>
      </c>
      <c r="H32" s="128">
        <f t="shared" si="6"/>
        <v>100</v>
      </c>
      <c r="J32" s="95"/>
      <c r="K32" s="63"/>
    </row>
    <row r="33" spans="1:10">
      <c r="B33" s="98"/>
      <c r="C33" s="98"/>
      <c r="D33" s="98"/>
      <c r="E33" s="98"/>
      <c r="F33" s="98"/>
      <c r="G33" s="98"/>
    </row>
    <row r="34" spans="1:10" s="101" customFormat="1" ht="20.45" customHeight="1" thickBot="1">
      <c r="A34" s="189" t="s">
        <v>192</v>
      </c>
      <c r="B34" s="189"/>
      <c r="C34" s="189"/>
      <c r="D34" s="189"/>
      <c r="E34" s="189"/>
      <c r="F34" s="189"/>
      <c r="G34" s="189"/>
      <c r="H34" s="189"/>
      <c r="I34" s="89"/>
      <c r="J34" s="89"/>
    </row>
    <row r="35" spans="1:10" ht="36.75" customHeight="1" thickTop="1">
      <c r="A35" s="211" t="s">
        <v>11</v>
      </c>
      <c r="B35" s="212"/>
      <c r="C35" s="125" t="s">
        <v>112</v>
      </c>
      <c r="D35" s="126"/>
      <c r="E35" s="126"/>
      <c r="F35" s="126"/>
      <c r="G35" s="126"/>
      <c r="H35" s="127"/>
    </row>
    <row r="36" spans="1:10" ht="36.75" customHeight="1" thickBot="1">
      <c r="A36" s="213"/>
      <c r="B36" s="214"/>
      <c r="C36" s="123" t="s">
        <v>108</v>
      </c>
      <c r="D36" s="123" t="s">
        <v>109</v>
      </c>
      <c r="E36" s="123" t="s">
        <v>110</v>
      </c>
      <c r="F36" s="123" t="s">
        <v>186</v>
      </c>
      <c r="G36" s="123" t="s">
        <v>187</v>
      </c>
      <c r="H36" s="124" t="s">
        <v>111</v>
      </c>
    </row>
    <row r="37" spans="1:10" ht="32.25" customHeight="1" thickTop="1">
      <c r="A37" s="215" t="s">
        <v>76</v>
      </c>
      <c r="B37" s="216"/>
      <c r="C37" s="14">
        <f>+IFERROR(C7/B7*100-100,"")</f>
        <v>1.2173231261385382</v>
      </c>
      <c r="D37" s="14">
        <f t="shared" ref="D37:H37" si="7">+IFERROR(D7/C7*100-100,"")</f>
        <v>7.0559559039803617</v>
      </c>
      <c r="E37" s="14">
        <f t="shared" si="7"/>
        <v>14.309004007931733</v>
      </c>
      <c r="F37" s="14">
        <f t="shared" si="7"/>
        <v>1.7568447759943382</v>
      </c>
      <c r="G37" s="14">
        <f t="shared" si="7"/>
        <v>2.5227647061108769</v>
      </c>
      <c r="H37" s="111">
        <f t="shared" si="7"/>
        <v>6.1455641281208671</v>
      </c>
      <c r="J37" s="49"/>
    </row>
    <row r="38" spans="1:10" ht="32.25" customHeight="1">
      <c r="A38" s="18" t="s">
        <v>13</v>
      </c>
      <c r="B38" s="4"/>
      <c r="C38" s="14">
        <f t="shared" ref="C38:H38" si="8">+IFERROR(C8/B8*100-100,"")</f>
        <v>-3.3478282198085196</v>
      </c>
      <c r="D38" s="14">
        <f t="shared" si="8"/>
        <v>-20.228807246164223</v>
      </c>
      <c r="E38" s="14">
        <f t="shared" si="8"/>
        <v>24.852087611054458</v>
      </c>
      <c r="F38" s="14">
        <f t="shared" si="8"/>
        <v>5.3997921663086572</v>
      </c>
      <c r="G38" s="14">
        <f t="shared" si="8"/>
        <v>1.8035999957187272</v>
      </c>
      <c r="H38" s="111">
        <f t="shared" si="8"/>
        <v>6.4501108034829429</v>
      </c>
      <c r="J38" s="49"/>
    </row>
    <row r="39" spans="1:10" ht="32.25" customHeight="1">
      <c r="A39" s="18" t="s">
        <v>27</v>
      </c>
      <c r="B39" s="4"/>
      <c r="C39" s="14">
        <f t="shared" ref="C39:H39" si="9">+IFERROR(C9/B9*100-100,"")</f>
        <v>0.59492765839905815</v>
      </c>
      <c r="D39" s="14">
        <f t="shared" si="9"/>
        <v>-13.31251596186253</v>
      </c>
      <c r="E39" s="14">
        <f t="shared" si="9"/>
        <v>17.466027643720409</v>
      </c>
      <c r="F39" s="14">
        <f t="shared" si="9"/>
        <v>16.952172911222689</v>
      </c>
      <c r="G39" s="14">
        <f t="shared" si="9"/>
        <v>-6.5392997650901634</v>
      </c>
      <c r="H39" s="111">
        <f t="shared" si="9"/>
        <v>-27.036135490900676</v>
      </c>
      <c r="J39" s="49"/>
    </row>
    <row r="40" spans="1:10" ht="32.25" customHeight="1">
      <c r="A40" s="18" t="s">
        <v>77</v>
      </c>
      <c r="B40" s="4"/>
      <c r="C40" s="14">
        <f t="shared" ref="C40:H40" si="10">+IFERROR(C10/B10*100-100,"")</f>
        <v>5.6194918667516163</v>
      </c>
      <c r="D40" s="14">
        <f t="shared" si="10"/>
        <v>-12.555265291967316</v>
      </c>
      <c r="E40" s="14">
        <f t="shared" si="10"/>
        <v>20.854684792217284</v>
      </c>
      <c r="F40" s="14">
        <f t="shared" si="10"/>
        <v>4.3729550943585593</v>
      </c>
      <c r="G40" s="14">
        <f t="shared" si="10"/>
        <v>5.4087509082558256</v>
      </c>
      <c r="H40" s="111">
        <f t="shared" si="10"/>
        <v>18.499227309583148</v>
      </c>
      <c r="J40" s="49"/>
    </row>
    <row r="41" spans="1:10" ht="32.25" customHeight="1">
      <c r="A41" s="18" t="s">
        <v>71</v>
      </c>
      <c r="B41" s="4"/>
      <c r="C41" s="14">
        <f t="shared" ref="C41:H41" si="11">+IFERROR(C11/B11*100-100,"")</f>
        <v>4.1604951975597686</v>
      </c>
      <c r="D41" s="14">
        <f t="shared" si="11"/>
        <v>-0.26311641463800584</v>
      </c>
      <c r="E41" s="14">
        <f t="shared" si="11"/>
        <v>8.3244475373839748</v>
      </c>
      <c r="F41" s="14">
        <f t="shared" si="11"/>
        <v>1.1289655737473794</v>
      </c>
      <c r="G41" s="14">
        <f t="shared" si="11"/>
        <v>16.950337344907695</v>
      </c>
      <c r="H41" s="111">
        <f t="shared" si="11"/>
        <v>2.0136020877878735</v>
      </c>
      <c r="J41" s="49"/>
    </row>
    <row r="42" spans="1:10" ht="32.25" customHeight="1">
      <c r="A42" s="83" t="s">
        <v>17</v>
      </c>
      <c r="B42" s="3"/>
      <c r="C42" s="14">
        <f t="shared" ref="C42:H42" si="12">+IFERROR(C12/B12*100-100,"")</f>
        <v>4.100166213325835</v>
      </c>
      <c r="D42" s="14">
        <f t="shared" si="12"/>
        <v>-9.5719717124535464</v>
      </c>
      <c r="E42" s="14">
        <f t="shared" si="12"/>
        <v>14.312209490601106</v>
      </c>
      <c r="F42" s="14">
        <f t="shared" si="12"/>
        <v>8.7833461413621876</v>
      </c>
      <c r="G42" s="14">
        <f t="shared" si="12"/>
        <v>1.1657199557074875</v>
      </c>
      <c r="H42" s="111">
        <f t="shared" si="12"/>
        <v>13.089312668221027</v>
      </c>
      <c r="J42" s="49"/>
    </row>
    <row r="43" spans="1:10" ht="32.25" customHeight="1">
      <c r="A43" s="83" t="s">
        <v>18</v>
      </c>
      <c r="B43" s="3"/>
      <c r="C43" s="14">
        <f t="shared" ref="C43:H43" si="13">+IFERROR(C13/B13*100-100,"")</f>
        <v>24.311894466805768</v>
      </c>
      <c r="D43" s="14">
        <f t="shared" si="13"/>
        <v>-15.002028285082375</v>
      </c>
      <c r="E43" s="14">
        <f t="shared" si="13"/>
        <v>12.194134005471795</v>
      </c>
      <c r="F43" s="14">
        <f t="shared" si="13"/>
        <v>9.6854595215520476</v>
      </c>
      <c r="G43" s="14">
        <f t="shared" si="13"/>
        <v>-5.741804094777109</v>
      </c>
      <c r="H43" s="111">
        <f t="shared" si="13"/>
        <v>14.756640588721766</v>
      </c>
      <c r="J43" s="49"/>
    </row>
    <row r="44" spans="1:10" ht="32.25" customHeight="1">
      <c r="A44" s="83" t="s">
        <v>28</v>
      </c>
      <c r="B44" s="3"/>
      <c r="C44" s="14">
        <f t="shared" ref="C44:H44" si="14">+IFERROR(C14/B14*100-100,"")</f>
        <v>1.9459939135579418</v>
      </c>
      <c r="D44" s="14">
        <f t="shared" si="14"/>
        <v>-21.224253089452816</v>
      </c>
      <c r="E44" s="14">
        <f t="shared" si="14"/>
        <v>16.261494329299111</v>
      </c>
      <c r="F44" s="14">
        <f t="shared" si="14"/>
        <v>11.127392487572777</v>
      </c>
      <c r="G44" s="14">
        <f t="shared" si="14"/>
        <v>11.080043146017672</v>
      </c>
      <c r="H44" s="111">
        <f t="shared" si="14"/>
        <v>4.9941371909498571</v>
      </c>
      <c r="J44" s="49"/>
    </row>
    <row r="45" spans="1:10" ht="32.25" customHeight="1">
      <c r="A45" s="83" t="s">
        <v>20</v>
      </c>
      <c r="B45" s="3"/>
      <c r="C45" s="14">
        <f t="shared" ref="C45:H45" si="15">+IFERROR(C15/B15*100-100,"")</f>
        <v>14.554902364626713</v>
      </c>
      <c r="D45" s="14">
        <f t="shared" si="15"/>
        <v>-13.929679082900549</v>
      </c>
      <c r="E45" s="14">
        <f t="shared" si="15"/>
        <v>12.55228392956495</v>
      </c>
      <c r="F45" s="14">
        <f t="shared" si="15"/>
        <v>10.82980939023463</v>
      </c>
      <c r="G45" s="14">
        <f t="shared" si="15"/>
        <v>14.542818089293092</v>
      </c>
      <c r="H45" s="111">
        <f t="shared" si="15"/>
        <v>23.548495196099068</v>
      </c>
      <c r="J45" s="49"/>
    </row>
    <row r="46" spans="1:10" ht="32.25" customHeight="1">
      <c r="A46" s="42" t="s">
        <v>78</v>
      </c>
      <c r="B46" s="76"/>
      <c r="C46" s="14">
        <f t="shared" ref="C46:H46" si="16">+IFERROR(C16/B16*100-100,"")</f>
        <v>-1.2177121532131139</v>
      </c>
      <c r="D46" s="14">
        <f t="shared" si="16"/>
        <v>-9.5188640779736033</v>
      </c>
      <c r="E46" s="14">
        <f t="shared" si="16"/>
        <v>16.708222106555809</v>
      </c>
      <c r="F46" s="14">
        <f t="shared" si="16"/>
        <v>6.3675224361647196</v>
      </c>
      <c r="G46" s="14">
        <f t="shared" si="16"/>
        <v>2.1424827899895433</v>
      </c>
      <c r="H46" s="111">
        <f t="shared" si="16"/>
        <v>4.9379055381540127</v>
      </c>
      <c r="J46" s="49"/>
    </row>
    <row r="47" spans="1:10" ht="34.5" customHeight="1">
      <c r="A47" s="84" t="s">
        <v>26</v>
      </c>
      <c r="B47" s="84"/>
      <c r="C47" s="35">
        <f t="shared" ref="C47:H47" si="17">+IFERROR(C17/B17*100-100,"")</f>
        <v>3.1030679327246844</v>
      </c>
      <c r="D47" s="35">
        <f t="shared" si="17"/>
        <v>-17.821229945932458</v>
      </c>
      <c r="E47" s="35">
        <f t="shared" si="17"/>
        <v>16.467124860420341</v>
      </c>
      <c r="F47" s="35">
        <f t="shared" si="17"/>
        <v>11.038547526176615</v>
      </c>
      <c r="G47" s="35">
        <f t="shared" si="17"/>
        <v>7.1663294609993073</v>
      </c>
      <c r="H47" s="141">
        <f t="shared" si="17"/>
        <v>2.7478854554691594</v>
      </c>
    </row>
    <row r="48" spans="1:10">
      <c r="C48" s="40"/>
    </row>
    <row r="49" spans="1:10" s="101" customFormat="1" ht="20.45" customHeight="1" thickBot="1">
      <c r="A49" s="190" t="s">
        <v>193</v>
      </c>
      <c r="B49" s="190"/>
      <c r="C49" s="190"/>
      <c r="D49" s="190"/>
      <c r="E49" s="190"/>
      <c r="F49" s="190"/>
      <c r="G49" s="190"/>
      <c r="H49" s="190"/>
      <c r="I49" s="89"/>
      <c r="J49" s="89"/>
    </row>
    <row r="50" spans="1:10" ht="36.75" customHeight="1" thickTop="1">
      <c r="A50" s="217" t="s">
        <v>11</v>
      </c>
      <c r="B50" s="217" t="s">
        <v>338</v>
      </c>
      <c r="C50" s="217"/>
      <c r="D50" s="217"/>
      <c r="E50" s="217"/>
      <c r="F50" s="217"/>
      <c r="G50" s="217"/>
      <c r="H50" s="219"/>
    </row>
    <row r="51" spans="1:10" ht="36.75" customHeight="1" thickBot="1">
      <c r="A51" s="218"/>
      <c r="B51" s="119">
        <v>2018</v>
      </c>
      <c r="C51" s="119">
        <v>2019</v>
      </c>
      <c r="D51" s="119">
        <v>2020</v>
      </c>
      <c r="E51" s="119">
        <v>2021</v>
      </c>
      <c r="F51" s="119">
        <v>2022</v>
      </c>
      <c r="G51" s="119" t="s">
        <v>185</v>
      </c>
      <c r="H51" s="120" t="s">
        <v>107</v>
      </c>
    </row>
    <row r="52" spans="1:10" ht="32.25" customHeight="1" thickTop="1">
      <c r="A52" s="3" t="s">
        <v>76</v>
      </c>
      <c r="B52" s="53">
        <f>SUMIFS(DATOS!$F:$F,DATOS!$D:$D,"PIBP_01",DATOS!$A:$A,'Cuadro 1'!B$51,DATOS!$B:$B,"B100101",DATOS!$G:$G,"0311",DATOS!$C:$C,"00")</f>
        <v>5096.85095672239</v>
      </c>
      <c r="C52" s="53">
        <f>SUMIFS(DATOS!$F:$F,DATOS!$D:$D,"PIBP_01",DATOS!$A:$A,'Cuadro 1'!C$51,DATOS!$B:$B,"B100101",DATOS!$G:$G,"0311",DATOS!$C:$C,"00")</f>
        <v>5017.4632631931909</v>
      </c>
      <c r="D52" s="53">
        <f>SUMIFS(DATOS!$F:$F,DATOS!$D:$D,"PIBP_01",DATOS!$A:$A,'Cuadro 1'!D$51,DATOS!$B:$B,"B100101",DATOS!$G:$G,"0311",DATOS!$C:$C,"00")</f>
        <v>5226.1862932897611</v>
      </c>
      <c r="E52" s="53">
        <f>SUMIFS(DATOS!$F:$F,DATOS!$D:$D,"PIBP_01",DATOS!$A:$A,'Cuadro 1'!E$51,DATOS!$B:$B,"B100101",DATOS!$G:$G,"0311",DATOS!$C:$C,"00")</f>
        <v>5814.1361740225057</v>
      </c>
      <c r="F52" s="53">
        <f>SUMIFS(DATOS!$F:$F,DATOS!$D:$D,"PIBP_01",DATOS!$A:$A,'Cuadro 1'!F$51,DATOS!$B:$B,"B100101",DATOS!$G:$G,"0311",DATOS!$C:$C,"00")</f>
        <v>5760.5702299445429</v>
      </c>
      <c r="G52" s="53">
        <f>SUMIFS(DATOS!$F:$F,DATOS!$D:$D,"PIBP_01",DATOS!$A:$A,'Cuadro 1'!G$51,DATOS!$B:$B,"B100101",DATOS!$G:$G,"0311",DATOS!$C:$C,"00")</f>
        <v>5753.4405031826273</v>
      </c>
      <c r="H52" s="53">
        <f>SUMIFS(DATOS!$F:$F,DATOS!$D:$D,"PIBP_01",DATOS!$A:$A,'Cuadro 1'!H$51,DATOS!$B:$B,"B100101",DATOS!$G:$G,"0311",DATOS!$C:$C,"00")</f>
        <v>5952.2406044106792</v>
      </c>
    </row>
    <row r="53" spans="1:10" ht="32.25" customHeight="1">
      <c r="A53" s="4" t="s">
        <v>13</v>
      </c>
      <c r="B53" s="53">
        <f>SUMIFS(DATOS!$F:$F,DATOS!$D:$D,"PIBP_02",DATOS!$A:$A,'Cuadro 1'!B$51,DATOS!$B:$B,"B100101",DATOS!$G:$G,"0311",DATOS!$C:$C,"00")</f>
        <v>8338.9231264038772</v>
      </c>
      <c r="C53" s="53">
        <f>SUMIFS(DATOS!$F:$F,DATOS!$D:$D,"PIBP_02",DATOS!$A:$A,'Cuadro 1'!C$51,DATOS!$B:$B,"B100101",DATOS!$G:$G,"0311",DATOS!$C:$C,"00")</f>
        <v>8002.1478743146454</v>
      </c>
      <c r="D53" s="53">
        <f>SUMIFS(DATOS!$F:$F,DATOS!$D:$D,"PIBP_02",DATOS!$A:$A,'Cuadro 1'!D$51,DATOS!$B:$B,"B100101",DATOS!$G:$G,"0311",DATOS!$C:$C,"00")</f>
        <v>6339.8913780536668</v>
      </c>
      <c r="E53" s="53">
        <f>SUMIFS(DATOS!$F:$F,DATOS!$D:$D,"PIBP_02",DATOS!$A:$A,'Cuadro 1'!E$51,DATOS!$B:$B,"B100101",DATOS!$G:$G,"0311",DATOS!$C:$C,"00")</f>
        <v>7863.6747153128335</v>
      </c>
      <c r="F53" s="53">
        <f>SUMIFS(DATOS!$F:$F,DATOS!$D:$D,"PIBP_02",DATOS!$A:$A,'Cuadro 1'!F$51,DATOS!$B:$B,"B100101",DATOS!$G:$G,"0311",DATOS!$C:$C,"00")</f>
        <v>8237.6559813488275</v>
      </c>
      <c r="G53" s="53">
        <f>SUMIFS(DATOS!$F:$F,DATOS!$D:$D,"PIBP_02",DATOS!$A:$A,'Cuadro 1'!G$51,DATOS!$B:$B,"B100101",DATOS!$G:$G,"0311",DATOS!$C:$C,"00")</f>
        <v>8337.5703619135293</v>
      </c>
      <c r="H53" s="53">
        <f>SUMIFS(DATOS!$F:$F,DATOS!$D:$D,"PIBP_02",DATOS!$A:$A,'Cuadro 1'!H$51,DATOS!$B:$B,"B100101",DATOS!$G:$G,"0311",DATOS!$C:$C,"00")</f>
        <v>8784.7462026224894</v>
      </c>
    </row>
    <row r="54" spans="1:10" ht="32.25" customHeight="1">
      <c r="A54" s="4" t="s">
        <v>27</v>
      </c>
      <c r="B54" s="53">
        <f>SUMIFS(DATOS!$F:$F,DATOS!$D:$D,"PIBP_03",DATOS!$A:$A,'Cuadro 1'!B$51,DATOS!$B:$B,"B100101",DATOS!$G:$G,"0311",DATOS!$C:$C,"00")</f>
        <v>31121.884273823933</v>
      </c>
      <c r="C54" s="53">
        <f>SUMIFS(DATOS!$F:$F,DATOS!$D:$D,"PIBP_03",DATOS!$A:$A,'Cuadro 1'!C$51,DATOS!$B:$B,"B100101",DATOS!$G:$G,"0311",DATOS!$C:$C,"00")</f>
        <v>30817.000665085616</v>
      </c>
      <c r="D54" s="53">
        <f>SUMIFS(DATOS!$F:$F,DATOS!$D:$D,"PIBP_03",DATOS!$A:$A,'Cuadro 1'!D$51,DATOS!$B:$B,"B100101",DATOS!$G:$G,"0311",DATOS!$C:$C,"00")</f>
        <v>26300.417133705392</v>
      </c>
      <c r="E54" s="53">
        <f>SUMIFS(DATOS!$F:$F,DATOS!$D:$D,"PIBP_03",DATOS!$A:$A,'Cuadro 1'!E$51,DATOS!$B:$B,"B100101",DATOS!$G:$G,"0311",DATOS!$C:$C,"00")</f>
        <v>30422.863251070012</v>
      </c>
      <c r="F54" s="53">
        <f>SUMIFS(DATOS!$F:$F,DATOS!$D:$D,"PIBP_03",DATOS!$A:$A,'Cuadro 1'!F$51,DATOS!$B:$B,"B100101",DATOS!$G:$G,"0311",DATOS!$C:$C,"00")</f>
        <v>35056.50760574414</v>
      </c>
      <c r="G54" s="53">
        <f>SUMIFS(DATOS!$F:$F,DATOS!$D:$D,"PIBP_03",DATOS!$A:$A,'Cuadro 1'!G$51,DATOS!$B:$B,"B100101",DATOS!$G:$G,"0311",DATOS!$C:$C,"00")</f>
        <v>32290.149962843596</v>
      </c>
      <c r="H54" s="53">
        <f>SUMIFS(DATOS!$F:$F,DATOS!$D:$D,"PIBP_03",DATOS!$A:$A,'Cuadro 1'!H$51,DATOS!$B:$B,"B100101",DATOS!$G:$G,"0311",DATOS!$C:$C,"00")</f>
        <v>23177.705789262844</v>
      </c>
    </row>
    <row r="55" spans="1:10" ht="32.25" customHeight="1">
      <c r="A55" s="4" t="s">
        <v>77</v>
      </c>
      <c r="B55" s="53">
        <f>SUMIFS(DATOS!$F:$F,DATOS!$D:$D,"PIBP_04",DATOS!$A:$A,'Cuadro 1'!B$51,DATOS!$B:$B,"B100101",DATOS!$G:$G,"0311",DATOS!$C:$C,"00")</f>
        <v>5758.9837281113159</v>
      </c>
      <c r="C55" s="53">
        <f>SUMIFS(DATOS!$F:$F,DATOS!$D:$D,"PIBP_04",DATOS!$A:$A,'Cuadro 1'!C$51,DATOS!$B:$B,"B100101",DATOS!$G:$G,"0311",DATOS!$C:$C,"00")</f>
        <v>6011.2722099057773</v>
      </c>
      <c r="D55" s="53">
        <f>SUMIFS(DATOS!$F:$F,DATOS!$D:$D,"PIBP_04",DATOS!$A:$A,'Cuadro 1'!D$51,DATOS!$B:$B,"B100101",DATOS!$G:$G,"0311",DATOS!$C:$C,"00")</f>
        <v>5195.5162644360089</v>
      </c>
      <c r="E55" s="53">
        <f>SUMIFS(DATOS!$F:$F,DATOS!$D:$D,"PIBP_04",DATOS!$A:$A,'Cuadro 1'!E$51,DATOS!$B:$B,"B100101",DATOS!$G:$G,"0311",DATOS!$C:$C,"00")</f>
        <v>6207.0730684093951</v>
      </c>
      <c r="F55" s="53">
        <f>SUMIFS(DATOS!$F:$F,DATOS!$D:$D,"PIBP_04",DATOS!$A:$A,'Cuadro 1'!F$51,DATOS!$B:$B,"B100101",DATOS!$G:$G,"0311",DATOS!$C:$C,"00")</f>
        <v>6408.5252609877889</v>
      </c>
      <c r="G55" s="53">
        <f>SUMIFS(DATOS!$F:$F,DATOS!$D:$D,"PIBP_04",DATOS!$A:$A,'Cuadro 1'!G$51,DATOS!$B:$B,"B100101",DATOS!$G:$G,"0311",DATOS!$C:$C,"00")</f>
        <v>6683.285892421356</v>
      </c>
      <c r="H55" s="53">
        <f>SUMIFS(DATOS!$F:$F,DATOS!$D:$D,"PIBP_04",DATOS!$A:$A,'Cuadro 1'!H$51,DATOS!$B:$B,"B100101",DATOS!$G:$G,"0311",DATOS!$C:$C,"00")</f>
        <v>7786.3486452959969</v>
      </c>
    </row>
    <row r="56" spans="1:10" ht="32.25" customHeight="1">
      <c r="A56" s="4" t="s">
        <v>71</v>
      </c>
      <c r="B56" s="53">
        <f>SUMIFS(DATOS!$F:$F,DATOS!$D:$D,"PIBP_05",DATOS!$A:$A,'Cuadro 1'!B$51,DATOS!$B:$B,"B100101",DATOS!$G:$G,"0311",DATOS!$C:$C,"00")</f>
        <v>3471.4477258513502</v>
      </c>
      <c r="C56" s="53">
        <f>SUMIFS(DATOS!$F:$F,DATOS!$D:$D,"PIBP_05",DATOS!$A:$A,'Cuadro 1'!C$51,DATOS!$B:$B,"B100101",DATOS!$G:$G,"0311",DATOS!$C:$C,"00")</f>
        <v>3567.2110225651941</v>
      </c>
      <c r="D56" s="53">
        <f>SUMIFS(DATOS!$F:$F,DATOS!$D:$D,"PIBP_05",DATOS!$A:$A,'Cuadro 1'!D$51,DATOS!$B:$B,"B100101",DATOS!$G:$G,"0311",DATOS!$C:$C,"00")</f>
        <v>3511.7161254284456</v>
      </c>
      <c r="E56" s="53">
        <f>SUMIFS(DATOS!$F:$F,DATOS!$D:$D,"PIBP_05",DATOS!$A:$A,'Cuadro 1'!E$51,DATOS!$B:$B,"B100101",DATOS!$G:$G,"0311",DATOS!$C:$C,"00")</f>
        <v>3753.7037739788661</v>
      </c>
      <c r="F56" s="53">
        <f>SUMIFS(DATOS!$F:$F,DATOS!$D:$D,"PIBP_05",DATOS!$A:$A,'Cuadro 1'!F$51,DATOS!$B:$B,"B100101",DATOS!$G:$G,"0311",DATOS!$C:$C,"00")</f>
        <v>3749.0257376262007</v>
      </c>
      <c r="G56" s="53">
        <f>SUMIFS(DATOS!$F:$F,DATOS!$D:$D,"PIBP_05",DATOS!$A:$A,'Cuadro 1'!G$51,DATOS!$B:$B,"B100101",DATOS!$G:$G,"0311",DATOS!$C:$C,"00")</f>
        <v>4331.1668266525112</v>
      </c>
      <c r="H56" s="53">
        <f>SUMIFS(DATOS!$F:$F,DATOS!$D:$D,"PIBP_05",DATOS!$A:$A,'Cuadro 1'!H$51,DATOS!$B:$B,"B100101",DATOS!$G:$G,"0311",DATOS!$C:$C,"00")</f>
        <v>4341.4973802785917</v>
      </c>
    </row>
    <row r="57" spans="1:10" ht="32.25" customHeight="1">
      <c r="A57" s="3" t="s">
        <v>17</v>
      </c>
      <c r="B57" s="53">
        <f>SUMIFS(DATOS!$F:$F,DATOS!$D:$D,"PIBP_06",DATOS!$A:$A,'Cuadro 1'!B$51,DATOS!$B:$B,"B100101",DATOS!$G:$G,"0311",DATOS!$C:$C,"00")</f>
        <v>6529.2178672771315</v>
      </c>
      <c r="C57" s="53">
        <f>SUMIFS(DATOS!$F:$F,DATOS!$D:$D,"PIBP_06",DATOS!$A:$A,'Cuadro 1'!C$51,DATOS!$B:$B,"B100101",DATOS!$G:$G,"0311",DATOS!$C:$C,"00")</f>
        <v>6789.5501870476228</v>
      </c>
      <c r="D57" s="53">
        <f>SUMIFS(DATOS!$F:$F,DATOS!$D:$D,"PIBP_06",DATOS!$A:$A,'Cuadro 1'!D$51,DATOS!$B:$B,"B100101",DATOS!$G:$G,"0311",DATOS!$C:$C,"00")</f>
        <v>6133.6189816613014</v>
      </c>
      <c r="E57" s="53">
        <f>SUMIFS(DATOS!$F:$F,DATOS!$D:$D,"PIBP_06",DATOS!$A:$A,'Cuadro 1'!E$51,DATOS!$B:$B,"B100101",DATOS!$G:$G,"0311",DATOS!$C:$C,"00")</f>
        <v>7007.8236922829119</v>
      </c>
      <c r="F57" s="53">
        <f>SUMIFS(DATOS!$F:$F,DATOS!$D:$D,"PIBP_06",DATOS!$A:$A,'Cuadro 1'!F$51,DATOS!$B:$B,"B100101",DATOS!$G:$G,"0311",DATOS!$C:$C,"00")</f>
        <v>7621.8725136161238</v>
      </c>
      <c r="G57" s="53">
        <f>SUMIFS(DATOS!$F:$F,DATOS!$D:$D,"PIBP_06",DATOS!$A:$A,'Cuadro 1'!G$51,DATOS!$B:$B,"B100101",DATOS!$G:$G,"0311",DATOS!$C:$C,"00")</f>
        <v>7711.0460137220416</v>
      </c>
      <c r="H57" s="53">
        <f>SUMIFS(DATOS!$F:$F,DATOS!$D:$D,"PIBP_06",DATOS!$A:$A,'Cuadro 1'!H$51,DATOS!$B:$B,"B100101",DATOS!$G:$G,"0311",DATOS!$C:$C,"00")</f>
        <v>8683.9009577577563</v>
      </c>
    </row>
    <row r="58" spans="1:10" ht="32.25" customHeight="1">
      <c r="A58" s="3" t="s">
        <v>18</v>
      </c>
      <c r="B58" s="53">
        <f>SUMIFS(DATOS!$F:$F,DATOS!$D:$D,"PIBP_07",DATOS!$A:$A,'Cuadro 1'!B$51,DATOS!$B:$B,"B100101",DATOS!$G:$G,"0311",DATOS!$C:$C,"00")</f>
        <v>7500.4937270177452</v>
      </c>
      <c r="C58" s="53">
        <f>SUMIFS(DATOS!$F:$F,DATOS!$D:$D,"PIBP_07",DATOS!$A:$A,'Cuadro 1'!C$51,DATOS!$B:$B,"B100101",DATOS!$G:$G,"0311",DATOS!$C:$C,"00")</f>
        <v>9318.6382483293255</v>
      </c>
      <c r="D58" s="53">
        <f>SUMIFS(DATOS!$F:$F,DATOS!$D:$D,"PIBP_07",DATOS!$A:$A,'Cuadro 1'!D$51,DATOS!$B:$B,"B100101",DATOS!$G:$G,"0311",DATOS!$C:$C,"00")</f>
        <v>7919.2443843126066</v>
      </c>
      <c r="E58" s="53">
        <f>SUMIFS(DATOS!$F:$F,DATOS!$D:$D,"PIBP_07",DATOS!$A:$A,'Cuadro 1'!E$51,DATOS!$B:$B,"B100101",DATOS!$G:$G,"0311",DATOS!$C:$C,"00")</f>
        <v>8884.5557507422436</v>
      </c>
      <c r="F58" s="53">
        <f>SUMIFS(DATOS!$F:$F,DATOS!$D:$D,"PIBP_07",DATOS!$A:$A,'Cuadro 1'!F$51,DATOS!$B:$B,"B100101",DATOS!$G:$G,"0311",DATOS!$C:$C,"00")</f>
        <v>9748.0240450475867</v>
      </c>
      <c r="G58" s="53">
        <f>SUMIFS(DATOS!$F:$F,DATOS!$D:$D,"PIBP_07",DATOS!$A:$A,'Cuadro 1'!G$51,DATOS!$B:$B,"B100101",DATOS!$G:$G,"0311",DATOS!$C:$C,"00")</f>
        <v>9194.1823579144257</v>
      </c>
      <c r="H58" s="53">
        <f>SUMIFS(DATOS!$F:$F,DATOS!$D:$D,"PIBP_07",DATOS!$A:$A,'Cuadro 1'!H$51,DATOS!$B:$B,"B100101",DATOS!$G:$G,"0311",DATOS!$C:$C,"00")</f>
        <v>10537.689705402217</v>
      </c>
    </row>
    <row r="59" spans="1:10" ht="32.25" customHeight="1">
      <c r="A59" s="3" t="s">
        <v>19</v>
      </c>
      <c r="B59" s="53">
        <f>SUMIFS(DATOS!$F:$F,DATOS!$D:$D,"PIBP_08",DATOS!$A:$A,'Cuadro 1'!B$51,DATOS!$B:$B,"B100101",DATOS!$G:$G,"0311",DATOS!$C:$C,"00")</f>
        <v>25194.852402851982</v>
      </c>
      <c r="C59" s="53">
        <f>SUMIFS(DATOS!$F:$F,DATOS!$D:$D,"PIBP_08",DATOS!$A:$A,'Cuadro 1'!C$51,DATOS!$B:$B,"B100101",DATOS!$G:$G,"0311",DATOS!$C:$C,"00")</f>
        <v>25256.776398542628</v>
      </c>
      <c r="D59" s="53">
        <f>SUMIFS(DATOS!$F:$F,DATOS!$D:$D,"PIBP_08",DATOS!$A:$A,'Cuadro 1'!D$51,DATOS!$B:$B,"B100101",DATOS!$G:$G,"0311",DATOS!$C:$C,"00")</f>
        <v>19536.269785525339</v>
      </c>
      <c r="E59" s="53">
        <f>SUMIFS(DATOS!$F:$F,DATOS!$D:$D,"PIBP_08",DATOS!$A:$A,'Cuadro 1'!E$51,DATOS!$B:$B,"B100101",DATOS!$G:$G,"0311",DATOS!$C:$C,"00")</f>
        <v>22341.761408644204</v>
      </c>
      <c r="F59" s="53">
        <f>SUMIFS(DATOS!$F:$F,DATOS!$D:$D,"PIBP_08",DATOS!$A:$A,'Cuadro 1'!F$51,DATOS!$B:$B,"B100101",DATOS!$G:$G,"0311",DATOS!$C:$C,"00")</f>
        <v>24662.025718514196</v>
      </c>
      <c r="G59" s="53">
        <f>SUMIFS(DATOS!$F:$F,DATOS!$D:$D,"PIBP_08",DATOS!$A:$A,'Cuadro 1'!G$51,DATOS!$B:$B,"B100101",DATOS!$G:$G,"0311",DATOS!$C:$C,"00")</f>
        <v>26912.921860598079</v>
      </c>
      <c r="H59" s="53">
        <f>SUMIFS(DATOS!$F:$F,DATOS!$D:$D,"PIBP_08",DATOS!$A:$A,'Cuadro 1'!H$51,DATOS!$B:$B,"B100101",DATOS!$G:$G,"0311",DATOS!$C:$C,"00")</f>
        <v>28132.930766845282</v>
      </c>
    </row>
    <row r="60" spans="1:10" ht="32.25" customHeight="1">
      <c r="A60" s="3" t="s">
        <v>24</v>
      </c>
      <c r="B60" s="53">
        <f>SUMIFS(DATOS!$F:$F,DATOS!$D:$D,"PIBP_13",DATOS!$A:$A,'Cuadro 1'!B$51,DATOS!$B:$B,"B100101",DATOS!$G:$G,"0311",DATOS!$C:$C,"00")</f>
        <v>10450.750719933927</v>
      </c>
      <c r="C60" s="53">
        <f>SUMIFS(DATOS!$F:$F,DATOS!$D:$D,"PIBP_13",DATOS!$A:$A,'Cuadro 1'!C$51,DATOS!$B:$B,"B100101",DATOS!$G:$G,"0311",DATOS!$C:$C,"00")</f>
        <v>11751.478434201646</v>
      </c>
      <c r="D60" s="53">
        <f>SUMIFS(DATOS!$F:$F,DATOS!$D:$D,"PIBP_13",DATOS!$A:$A,'Cuadro 1'!D$51,DATOS!$B:$B,"B100101",DATOS!$G:$G,"0311",DATOS!$C:$C,"00")</f>
        <v>9982.044793183095</v>
      </c>
      <c r="E60" s="53">
        <f>SUMIFS(DATOS!$F:$F,DATOS!$D:$D,"PIBP_13",DATOS!$A:$A,'Cuadro 1'!E$51,DATOS!$B:$B,"B100101",DATOS!$G:$G,"0311",DATOS!$C:$C,"00")</f>
        <v>11058.40301215378</v>
      </c>
      <c r="F60" s="53">
        <f>SUMIFS(DATOS!$F:$F,DATOS!$D:$D,"PIBP_13",DATOS!$A:$A,'Cuadro 1'!F$51,DATOS!$B:$B,"B100101",DATOS!$G:$G,"0311",DATOS!$C:$C,"00")</f>
        <v>11764.841867951609</v>
      </c>
      <c r="G60" s="53">
        <f>SUMIFS(DATOS!$F:$F,DATOS!$D:$D,"PIBP_13",DATOS!$A:$A,'Cuadro 1'!G$51,DATOS!$B:$B,"B100101",DATOS!$G:$G,"0311",DATOS!$C:$C,"00")</f>
        <v>13344.31211345936</v>
      </c>
      <c r="H60" s="53">
        <f>SUMIFS(DATOS!$F:$F,DATOS!$D:$D,"PIBP_13",DATOS!$A:$A,'Cuadro 1'!H$51,DATOS!$B:$B,"B100101",DATOS!$G:$G,"0311",DATOS!$C:$C,"00")</f>
        <v>16029.52424974478</v>
      </c>
    </row>
    <row r="61" spans="1:10" ht="32.25" customHeight="1">
      <c r="A61" s="6" t="s">
        <v>78</v>
      </c>
      <c r="B61" s="53">
        <f>SUMIFS(DATOS!$F:$F,DATOS!$D:$D,"PIBP_09",DATOS!$A:$A,'Cuadro 1'!B$51,DATOS!$B:$B,"B100101",DATOS!$G:$G,"0311",DATOS!$C:$C,"00")</f>
        <v>7233.1053010719579</v>
      </c>
      <c r="C61" s="53">
        <f>SUMIFS(DATOS!$F:$F,DATOS!$D:$D,"PIBP_09",DATOS!$A:$A,'Cuadro 1'!C$51,DATOS!$B:$B,"B100101",DATOS!$G:$G,"0311",DATOS!$C:$C,"00")</f>
        <v>7123.5321521153428</v>
      </c>
      <c r="D61" s="53">
        <f>SUMIFS(DATOS!$F:$F,DATOS!$D:$D,"PIBP_09",DATOS!$A:$A,'Cuadro 1'!D$51,DATOS!$B:$B,"B100101",DATOS!$G:$G,"0311",DATOS!$C:$C,"00")</f>
        <v>6427.776967414351</v>
      </c>
      <c r="E61" s="53">
        <f>SUMIFS(DATOS!$F:$F,DATOS!$D:$D,"PIBP_09",DATOS!$A:$A,'Cuadro 1'!E$51,DATOS!$B:$B,"B100101",DATOS!$G:$G,"0311",DATOS!$C:$C,"00")</f>
        <v>7483.1512293750793</v>
      </c>
      <c r="F61" s="53">
        <f>SUMIFS(DATOS!$F:$F,DATOS!$D:$D,"PIBP_09",DATOS!$A:$A,'Cuadro 1'!F$51,DATOS!$B:$B,"B100101",DATOS!$G:$G,"0311",DATOS!$C:$C,"00")</f>
        <v>7941.7773760448254</v>
      </c>
      <c r="G61" s="53">
        <f>SUMIFS(DATOS!$F:$F,DATOS!$D:$D,"PIBP_09",DATOS!$A:$A,'Cuadro 1'!G$51,DATOS!$B:$B,"B100101",DATOS!$G:$G,"0311",DATOS!$C:$C,"00")</f>
        <v>8095.8020110035368</v>
      </c>
      <c r="H61" s="53">
        <f>SUMIFS(DATOS!$F:$F,DATOS!$D:$D,"PIBP_09",DATOS!$A:$A,'Cuadro 1'!H$51,DATOS!$B:$B,"B100101",DATOS!$G:$G,"0311",DATOS!$C:$C,"00")</f>
        <v>8406.4562739240973</v>
      </c>
    </row>
    <row r="62" spans="1:10" ht="32.25" customHeight="1">
      <c r="A62" s="16" t="s">
        <v>75</v>
      </c>
      <c r="B62" s="54">
        <f>SUMIFS(DATOS!$F:$F,DATOS!$D:$D,"PIBP",DATOS!$A:$A,'Cuadro 1'!B$51,DATOS!$B:$B,"B100101",DATOS!$G:$G,"0311",DATOS!$C:$C,"00")</f>
        <v>16186.579386625543</v>
      </c>
      <c r="C62" s="54">
        <f>SUMIFS(DATOS!$F:$F,DATOS!$D:$D,"PIBP",DATOS!$A:$A,'Cuadro 1'!C$51,DATOS!$B:$B,"B100101",DATOS!$G:$G,"0311",DATOS!$C:$C,"00")</f>
        <v>16451.411633787535</v>
      </c>
      <c r="D62" s="54">
        <f>SUMIFS(DATOS!$F:$F,DATOS!$D:$D,"PIBP",DATOS!$A:$A,'Cuadro 1'!D$51,DATOS!$B:$B,"B100101",DATOS!$G:$G,"0311",DATOS!$C:$C,"00")</f>
        <v>13330.947885041491</v>
      </c>
      <c r="E62" s="54">
        <f>SUMIFS(DATOS!$F:$F,DATOS!$D:$D,"PIBP",DATOS!$A:$A,'Cuadro 1'!E$51,DATOS!$B:$B,"B100101",DATOS!$G:$G,"0311",DATOS!$C:$C,"00")</f>
        <v>15315.311893088981</v>
      </c>
      <c r="F62" s="54">
        <f>SUMIFS(DATOS!$F:$F,DATOS!$D:$D,"PIBP",DATOS!$A:$A,'Cuadro 1'!F$51,DATOS!$B:$B,"B100101",DATOS!$G:$G,"0311",DATOS!$C:$C,"00")</f>
        <v>16781.466354260923</v>
      </c>
      <c r="G62" s="54">
        <f>SUMIFS(DATOS!$F:$F,DATOS!$D:$D,"PIBP",DATOS!$A:$A,'Cuadro 1'!G$51,DATOS!$B:$B,"B100101",DATOS!$G:$G,"0311",DATOS!$C:$C,"00")</f>
        <v>17752.217794678931</v>
      </c>
      <c r="H62" s="54">
        <f>SUMIFS(DATOS!$F:$F,DATOS!$D:$D,"PIBP",DATOS!$A:$A,'Cuadro 1'!H$51,DATOS!$B:$B,"B100101",DATOS!$G:$G,"0311",DATOS!$C:$C,"00")</f>
        <v>18010.661422495054</v>
      </c>
    </row>
    <row r="63" spans="1:10">
      <c r="H63" s="55"/>
    </row>
    <row r="64" spans="1:10" ht="12.75" customHeight="1">
      <c r="A64" s="209" t="s">
        <v>65</v>
      </c>
      <c r="B64" s="210"/>
      <c r="C64" s="210"/>
      <c r="D64" s="210"/>
      <c r="E64" s="210"/>
      <c r="F64" s="70"/>
      <c r="G64" s="70"/>
      <c r="H64" s="96"/>
      <c r="J64" s="96"/>
    </row>
    <row r="65" spans="1:10">
      <c r="A65" s="64" t="s">
        <v>88</v>
      </c>
      <c r="B65" s="43"/>
      <c r="C65" s="43"/>
      <c r="D65" s="43"/>
      <c r="E65" s="44"/>
      <c r="F65" s="43"/>
      <c r="G65" s="69"/>
      <c r="H65" s="97"/>
      <c r="J65" s="97"/>
    </row>
    <row r="66" spans="1:10">
      <c r="A66" s="64" t="s">
        <v>89</v>
      </c>
      <c r="B66" s="45"/>
      <c r="C66" s="45"/>
      <c r="F66" s="5"/>
    </row>
    <row r="67" spans="1:10">
      <c r="A67" s="64" t="s">
        <v>352</v>
      </c>
      <c r="B67" s="45"/>
      <c r="C67" s="45"/>
      <c r="F67" s="5"/>
    </row>
    <row r="68" spans="1:10">
      <c r="A68" s="64" t="s">
        <v>90</v>
      </c>
      <c r="B68" s="45"/>
      <c r="C68" s="45"/>
      <c r="F68" s="5"/>
    </row>
    <row r="69" spans="1:10">
      <c r="A69" s="18" t="s">
        <v>79</v>
      </c>
      <c r="B69" s="45"/>
      <c r="C69" s="45"/>
      <c r="F69" s="5"/>
    </row>
    <row r="70" spans="1:10">
      <c r="A70" s="18" t="s">
        <v>345</v>
      </c>
      <c r="B70" s="104"/>
      <c r="C70" s="104"/>
      <c r="D70" s="46"/>
      <c r="E70" s="46"/>
      <c r="F70" s="46"/>
    </row>
    <row r="71" spans="1:10">
      <c r="A71" s="18" t="s">
        <v>72</v>
      </c>
      <c r="B71" s="46"/>
      <c r="C71" s="46"/>
      <c r="D71" s="46"/>
      <c r="E71" s="46"/>
      <c r="F71" s="46"/>
    </row>
    <row r="72" spans="1:10">
      <c r="A72" s="18" t="s">
        <v>87</v>
      </c>
      <c r="C72" s="18"/>
    </row>
    <row r="73" spans="1:10">
      <c r="A73" s="121" t="s">
        <v>83</v>
      </c>
      <c r="C73" s="18"/>
    </row>
    <row r="74" spans="1:10">
      <c r="A74" s="122" t="s">
        <v>23</v>
      </c>
      <c r="C74" s="18"/>
      <c r="D74" s="101"/>
      <c r="E74" s="101"/>
    </row>
    <row r="75" spans="1:10">
      <c r="A75" s="18"/>
      <c r="C75" s="18"/>
    </row>
    <row r="76" spans="1:10">
      <c r="C76" s="10"/>
    </row>
    <row r="78" spans="1:10">
      <c r="A78" s="18"/>
    </row>
    <row r="80" spans="1:10">
      <c r="F80" s="5"/>
    </row>
    <row r="81" spans="2:6">
      <c r="B81" s="40"/>
      <c r="C81" s="40"/>
      <c r="D81" s="40"/>
      <c r="E81" s="40"/>
      <c r="F81" s="40"/>
    </row>
  </sheetData>
  <mergeCells count="9">
    <mergeCell ref="A64:E64"/>
    <mergeCell ref="A35:B36"/>
    <mergeCell ref="A37:B37"/>
    <mergeCell ref="A5:A6"/>
    <mergeCell ref="A50:A51"/>
    <mergeCell ref="B5:H5"/>
    <mergeCell ref="B20:H20"/>
    <mergeCell ref="A20:A21"/>
    <mergeCell ref="B50:H50"/>
  </mergeCells>
  <hyperlinks>
    <hyperlink ref="J1" location="Índice!A1" display="Índice"/>
    <hyperlink ref="J2" location="'Cuadro 1'!A19" display="Composición "/>
    <hyperlink ref="J4" location="'Cuadro 1'!A49" display="Per cápita"/>
    <hyperlink ref="J3" location="'Cuadro 1'!A34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r:id="rId1"/>
  <rowBreaks count="3" manualBreakCount="3">
    <brk id="17" max="7" man="1"/>
    <brk id="32" max="7" man="1"/>
    <brk id="47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86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171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172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101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89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Toro'!C$6,DATOS!$B:$B,"B100101_13",DATOS!$G:$G,"0311",DATOS!$C:$C,"00")</f>
        <v>307.72709622644118</v>
      </c>
      <c r="D7" s="194">
        <f>SUMIFS(DATOS!$F:$F,DATOS!$D:$D,$A7,DATOS!$A:$A,'Cuadro 2-Bocas del Toro'!D$6,DATOS!$B:$B,"B100101_13",DATOS!$G:$G,"0311",DATOS!$C:$C,"00")</f>
        <v>339.52572267954429</v>
      </c>
      <c r="E7" s="194">
        <f>SUMIFS(DATOS!$F:$F,DATOS!$D:$D,$A7,DATOS!$A:$A,'Cuadro 2-Bocas del Toro'!E$6,DATOS!$B:$B,"B100101_13",DATOS!$G:$G,"0311",DATOS!$C:$C,"00")</f>
        <v>309.49382187109217</v>
      </c>
      <c r="F7" s="194">
        <f>SUMIFS(DATOS!$F:$F,DATOS!$D:$D,$A7,DATOS!$A:$A,'Cuadro 2-Bocas del Toro'!F$6,DATOS!$B:$B,"B100101_13",DATOS!$G:$G,"0311",DATOS!$C:$C,"00")</f>
        <v>333.48832144264873</v>
      </c>
      <c r="G7" s="194">
        <f>SUMIFS(DATOS!$F:$F,DATOS!$D:$D,$A7,DATOS!$A:$A,'Cuadro 2-Bocas del Toro'!G$6,DATOS!$B:$B,"B100101_13",DATOS!$G:$G,"0311",DATOS!$C:$C,"00")</f>
        <v>333.69678274833609</v>
      </c>
      <c r="H7" s="194">
        <f>SUMIFS(DATOS!$F:$F,DATOS!$D:$D,$A7,DATOS!$A:$A,'Cuadro 2-Bocas del Toro'!H$6,DATOS!$B:$B,"B100101_13",DATOS!$G:$G,"0311",DATOS!$C:$C,"00")</f>
        <v>366.13900109033597</v>
      </c>
      <c r="I7" s="195">
        <f>SUMIFS(DATOS!$F:$F,DATOS!$D:$D,$A7,DATOS!$A:$A,'Cuadro 2-Bocas del Toro'!I$6,DATOS!$B:$B,"B100101_13",DATOS!$G:$G,"0311",DATOS!$C:$C,"00")</f>
        <v>392.27954631373979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Toro'!C$6,DATOS!$B:$B,"B100101_13",DATOS!$G:$G,"0311",DATOS!$C:$C,"00")</f>
        <v>98.833963346624998</v>
      </c>
      <c r="D8" s="194">
        <f>SUMIFS(DATOS!$F:$F,DATOS!$D:$D,$A8,DATOS!$A:$A,'Cuadro 2-Bocas del Toro'!D$6,DATOS!$B:$B,"B100101_13",DATOS!$G:$G,"0311",DATOS!$C:$C,"00")</f>
        <v>122.46959782519173</v>
      </c>
      <c r="E8" s="194">
        <f>SUMIFS(DATOS!$F:$F,DATOS!$D:$D,$A8,DATOS!$A:$A,'Cuadro 2-Bocas del Toro'!E$6,DATOS!$B:$B,"B100101_13",DATOS!$G:$G,"0311",DATOS!$C:$C,"00")</f>
        <v>69.055738453696875</v>
      </c>
      <c r="F8" s="194">
        <f>SUMIFS(DATOS!$F:$F,DATOS!$D:$D,$A8,DATOS!$A:$A,'Cuadro 2-Bocas del Toro'!F$6,DATOS!$B:$B,"B100101_13",DATOS!$G:$G,"0311",DATOS!$C:$C,"00")</f>
        <v>90.566659545643901</v>
      </c>
      <c r="G8" s="194">
        <f>SUMIFS(DATOS!$F:$F,DATOS!$D:$D,$A8,DATOS!$A:$A,'Cuadro 2-Bocas del Toro'!G$6,DATOS!$B:$B,"B100101_13",DATOS!$G:$G,"0311",DATOS!$C:$C,"00")</f>
        <v>122.83139754381428</v>
      </c>
      <c r="H8" s="194">
        <f>SUMIFS(DATOS!$F:$F,DATOS!$D:$D,$A8,DATOS!$A:$A,'Cuadro 2-Bocas del Toro'!H$6,DATOS!$B:$B,"B100101_13",DATOS!$G:$G,"0311",DATOS!$C:$C,"00")</f>
        <v>125.06566211038566</v>
      </c>
      <c r="I8" s="195">
        <f>SUMIFS(DATOS!$F:$F,DATOS!$D:$D,$A8,DATOS!$A:$A,'Cuadro 2-Bocas del Toro'!I$6,DATOS!$B:$B,"B100101_13",DATOS!$G:$G,"0311",DATOS!$C:$C,"00")</f>
        <v>244.79453685112614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Toro'!C$6,DATOS!$B:$B,"B100101_13",DATOS!$G:$G,"0311",DATOS!$C:$C,"00")</f>
        <v>567.56008657215182</v>
      </c>
      <c r="D9" s="194">
        <f>SUMIFS(DATOS!$F:$F,DATOS!$D:$D,$A9,DATOS!$A:$A,'Cuadro 2-Bocas del Toro'!D$6,DATOS!$B:$B,"B100101_13",DATOS!$G:$G,"0311",DATOS!$C:$C,"00")</f>
        <v>577.80643490757825</v>
      </c>
      <c r="E9" s="194">
        <f>SUMIFS(DATOS!$F:$F,DATOS!$D:$D,$A9,DATOS!$A:$A,'Cuadro 2-Bocas del Toro'!E$6,DATOS!$B:$B,"B100101_13",DATOS!$G:$G,"0311",DATOS!$C:$C,"00")</f>
        <v>457.01556410645674</v>
      </c>
      <c r="F9" s="194">
        <f>SUMIFS(DATOS!$F:$F,DATOS!$D:$D,$A9,DATOS!$A:$A,'Cuadro 2-Bocas del Toro'!F$6,DATOS!$B:$B,"B100101_13",DATOS!$G:$G,"0311",DATOS!$C:$C,"00")</f>
        <v>526.01535445875732</v>
      </c>
      <c r="G9" s="194">
        <f>SUMIFS(DATOS!$F:$F,DATOS!$D:$D,$A9,DATOS!$A:$A,'Cuadro 2-Bocas del Toro'!G$6,DATOS!$B:$B,"B100101_13",DATOS!$G:$G,"0311",DATOS!$C:$C,"00")</f>
        <v>549.60685309036899</v>
      </c>
      <c r="H9" s="194">
        <f>SUMIFS(DATOS!$F:$F,DATOS!$D:$D,$A9,DATOS!$A:$A,'Cuadro 2-Bocas del Toro'!H$6,DATOS!$B:$B,"B100101_13",DATOS!$G:$G,"0311",DATOS!$C:$C,"00")</f>
        <v>574.54426765071855</v>
      </c>
      <c r="I9" s="195">
        <f>SUMIFS(DATOS!$F:$F,DATOS!$D:$D,$A9,DATOS!$A:$A,'Cuadro 2-Bocas del Toro'!I$6,DATOS!$B:$B,"B100101_13",DATOS!$G:$G,"0311",DATOS!$C:$C,"00")</f>
        <v>588.75037284678319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Toro'!C$6,DATOS!$B:$B,"B100101_13",DATOS!$G:$G,"0311",DATOS!$C:$C,"00")</f>
        <v>100.35618316200414</v>
      </c>
      <c r="D10" s="194">
        <f>SUMIFS(DATOS!$F:$F,DATOS!$D:$D,$A10,DATOS!$A:$A,'Cuadro 2-Bocas del Toro'!D$6,DATOS!$B:$B,"B100101_13",DATOS!$G:$G,"0311",DATOS!$C:$C,"00")</f>
        <v>130.65358173487112</v>
      </c>
      <c r="E10" s="194">
        <f>SUMIFS(DATOS!$F:$F,DATOS!$D:$D,$A10,DATOS!$A:$A,'Cuadro 2-Bocas del Toro'!E$6,DATOS!$B:$B,"B100101_13",DATOS!$G:$G,"0311",DATOS!$C:$C,"00")</f>
        <v>106.90077881123578</v>
      </c>
      <c r="F10" s="194">
        <f>SUMIFS(DATOS!$F:$F,DATOS!$D:$D,$A10,DATOS!$A:$A,'Cuadro 2-Bocas del Toro'!F$6,DATOS!$B:$B,"B100101_13",DATOS!$G:$G,"0311",DATOS!$C:$C,"00")</f>
        <v>102.71327944799637</v>
      </c>
      <c r="G10" s="194">
        <f>SUMIFS(DATOS!$F:$F,DATOS!$D:$D,$A10,DATOS!$A:$A,'Cuadro 2-Bocas del Toro'!G$6,DATOS!$B:$B,"B100101_13",DATOS!$G:$G,"0311",DATOS!$C:$C,"00")</f>
        <v>137.53087261997626</v>
      </c>
      <c r="H10" s="194">
        <f>SUMIFS(DATOS!$F:$F,DATOS!$D:$D,$A10,DATOS!$A:$A,'Cuadro 2-Bocas del Toro'!H$6,DATOS!$B:$B,"B100101_13",DATOS!$G:$G,"0311",DATOS!$C:$C,"00")</f>
        <v>148.50610835650056</v>
      </c>
      <c r="I10" s="195">
        <f>SUMIFS(DATOS!$F:$F,DATOS!$D:$D,$A10,DATOS!$A:$A,'Cuadro 2-Bocas del Toro'!I$6,DATOS!$B:$B,"B100101_13",DATOS!$G:$G,"0311",DATOS!$C:$C,"00")</f>
        <v>140.40493891903182</v>
      </c>
    </row>
    <row r="11" spans="1:12" ht="32.25" customHeight="1">
      <c r="A11" s="56" t="s">
        <v>4</v>
      </c>
      <c r="B11" s="60" t="s">
        <v>73</v>
      </c>
      <c r="C11" s="194">
        <f>SUMIFS(DATOS!$F:$F,DATOS!$D:$D,$A11,DATOS!$A:$A,'Cuadro 2-Bocas del Toro'!C$6,DATOS!$B:$B,"B100101_13",DATOS!$G:$G,"0311",DATOS!$C:$C,"00")</f>
        <v>1430.9707769263537</v>
      </c>
      <c r="D11" s="194">
        <f>SUMIFS(DATOS!$F:$F,DATOS!$D:$D,$A11,DATOS!$A:$A,'Cuadro 2-Bocas del Toro'!D$6,DATOS!$B:$B,"B100101_13",DATOS!$G:$G,"0311",DATOS!$C:$C,"00")</f>
        <v>1757.459172152586</v>
      </c>
      <c r="E11" s="194">
        <f>SUMIFS(DATOS!$F:$F,DATOS!$D:$D,$A11,DATOS!$A:$A,'Cuadro 2-Bocas del Toro'!E$6,DATOS!$B:$B,"B100101_13",DATOS!$G:$G,"0311",DATOS!$C:$C,"00")</f>
        <v>1198.8650952359346</v>
      </c>
      <c r="F11" s="194">
        <f>SUMIFS(DATOS!$F:$F,DATOS!$D:$D,$A11,DATOS!$A:$A,'Cuadro 2-Bocas del Toro'!F$6,DATOS!$B:$B,"B100101_13",DATOS!$G:$G,"0311",DATOS!$C:$C,"00")</f>
        <v>1353.9867766814859</v>
      </c>
      <c r="G11" s="194">
        <f>SUMIFS(DATOS!$F:$F,DATOS!$D:$D,$A11,DATOS!$A:$A,'Cuadro 2-Bocas del Toro'!G$6,DATOS!$B:$B,"B100101_13",DATOS!$G:$G,"0311",DATOS!$C:$C,"00")</f>
        <v>1626.2027831200508</v>
      </c>
      <c r="H11" s="194">
        <f>SUMIFS(DATOS!$F:$F,DATOS!$D:$D,$A11,DATOS!$A:$A,'Cuadro 2-Bocas del Toro'!H$6,DATOS!$B:$B,"B100101_13",DATOS!$G:$G,"0311",DATOS!$C:$C,"00")</f>
        <v>2341.1899179522948</v>
      </c>
      <c r="I11" s="195">
        <f>SUMIFS(DATOS!$F:$F,DATOS!$D:$D,$A11,DATOS!$A:$A,'Cuadro 2-Bocas del Toro'!I$6,DATOS!$B:$B,"B100101_13",DATOS!$G:$G,"0311",DATOS!$C:$C,"00")</f>
        <v>4102.8311543450163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Toro'!C$6,DATOS!$B:$B,"B100101_13",DATOS!$G:$G,"0311",DATOS!$C:$C,"00")</f>
        <v>111.13465134043668</v>
      </c>
      <c r="D12" s="194">
        <f>SUMIFS(DATOS!$F:$F,DATOS!$D:$D,$A12,DATOS!$A:$A,'Cuadro 2-Bocas del Toro'!D$6,DATOS!$B:$B,"B100101_13",DATOS!$G:$G,"0311",DATOS!$C:$C,"00")</f>
        <v>123.83139586979748</v>
      </c>
      <c r="E12" s="194">
        <f>SUMIFS(DATOS!$F:$F,DATOS!$D:$D,$A12,DATOS!$A:$A,'Cuadro 2-Bocas del Toro'!E$6,DATOS!$B:$B,"B100101_13",DATOS!$G:$G,"0311",DATOS!$C:$C,"00")</f>
        <v>89.801450148903072</v>
      </c>
      <c r="F12" s="194">
        <f>SUMIFS(DATOS!$F:$F,DATOS!$D:$D,$A12,DATOS!$A:$A,'Cuadro 2-Bocas del Toro'!F$6,DATOS!$B:$B,"B100101_13",DATOS!$G:$G,"0311",DATOS!$C:$C,"00")</f>
        <v>95.401342842069312</v>
      </c>
      <c r="G12" s="194">
        <f>SUMIFS(DATOS!$F:$F,DATOS!$D:$D,$A12,DATOS!$A:$A,'Cuadro 2-Bocas del Toro'!G$6,DATOS!$B:$B,"B100101_13",DATOS!$G:$G,"0311",DATOS!$C:$C,"00")</f>
        <v>117.81174112105737</v>
      </c>
      <c r="H12" s="194">
        <f>SUMIFS(DATOS!$F:$F,DATOS!$D:$D,$A12,DATOS!$A:$A,'Cuadro 2-Bocas del Toro'!H$6,DATOS!$B:$B,"B100101_13",DATOS!$G:$G,"0311",DATOS!$C:$C,"00")</f>
        <v>114.84951244075684</v>
      </c>
      <c r="I12" s="195">
        <f>SUMIFS(DATOS!$F:$F,DATOS!$D:$D,$A12,DATOS!$A:$A,'Cuadro 2-Bocas del Toro'!I$6,DATOS!$B:$B,"B100101_13",DATOS!$G:$G,"0311",DATOS!$C:$C,"00")</f>
        <v>111.38112459323027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Toro'!C$6,DATOS!$B:$B,"B100101_13",DATOS!$G:$G,"0311",DATOS!$C:$C,"00")</f>
        <v>855.50004728429781</v>
      </c>
      <c r="D13" s="194">
        <f>SUMIFS(DATOS!$F:$F,DATOS!$D:$D,$A13,DATOS!$A:$A,'Cuadro 2-Bocas del Toro'!D$6,DATOS!$B:$B,"B100101_13",DATOS!$G:$G,"0311",DATOS!$C:$C,"00")</f>
        <v>961.55341823229185</v>
      </c>
      <c r="E13" s="194">
        <f>SUMIFS(DATOS!$F:$F,DATOS!$D:$D,$A13,DATOS!$A:$A,'Cuadro 2-Bocas del Toro'!E$6,DATOS!$B:$B,"B100101_13",DATOS!$G:$G,"0311",DATOS!$C:$C,"00")</f>
        <v>1066.8625023316686</v>
      </c>
      <c r="F13" s="194">
        <f>SUMIFS(DATOS!$F:$F,DATOS!$D:$D,$A13,DATOS!$A:$A,'Cuadro 2-Bocas del Toro'!F$6,DATOS!$B:$B,"B100101_13",DATOS!$G:$G,"0311",DATOS!$C:$C,"00")</f>
        <v>1291.4611031795923</v>
      </c>
      <c r="G13" s="194">
        <f>SUMIFS(DATOS!$F:$F,DATOS!$D:$D,$A13,DATOS!$A:$A,'Cuadro 2-Bocas del Toro'!G$6,DATOS!$B:$B,"B100101_13",DATOS!$G:$G,"0311",DATOS!$C:$C,"00")</f>
        <v>1403.9798788519533</v>
      </c>
      <c r="H13" s="194">
        <f>SUMIFS(DATOS!$F:$F,DATOS!$D:$D,$A13,DATOS!$A:$A,'Cuadro 2-Bocas del Toro'!H$6,DATOS!$B:$B,"B100101_13",DATOS!$G:$G,"0311",DATOS!$C:$C,"00")</f>
        <v>1484.8267607691021</v>
      </c>
      <c r="I13" s="195">
        <f>SUMIFS(DATOS!$F:$F,DATOS!$D:$D,$A13,DATOS!$A:$A,'Cuadro 2-Bocas del Toro'!I$6,DATOS!$B:$B,"B100101_13",DATOS!$G:$G,"0311",DATOS!$C:$C,"00")</f>
        <v>1390.2432299373759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Toro'!C$6,DATOS!$B:$B,"B100101_13",DATOS!$G:$G,"0311",DATOS!$C:$C,"00")</f>
        <v>61.755441408807634</v>
      </c>
      <c r="D14" s="194">
        <f>SUMIFS(DATOS!$F:$F,DATOS!$D:$D,$A14,DATOS!$A:$A,'Cuadro 2-Bocas del Toro'!D$6,DATOS!$B:$B,"B100101_13",DATOS!$G:$G,"0311",DATOS!$C:$C,"00")</f>
        <v>60.09083451237013</v>
      </c>
      <c r="E14" s="194">
        <f>SUMIFS(DATOS!$F:$F,DATOS!$D:$D,$A14,DATOS!$A:$A,'Cuadro 2-Bocas del Toro'!E$6,DATOS!$B:$B,"B100101_13",DATOS!$G:$G,"0311",DATOS!$C:$C,"00")</f>
        <v>24.174116117826628</v>
      </c>
      <c r="F14" s="194">
        <f>SUMIFS(DATOS!$F:$F,DATOS!$D:$D,$A14,DATOS!$A:$A,'Cuadro 2-Bocas del Toro'!F$6,DATOS!$B:$B,"B100101_13",DATOS!$G:$G,"0311",DATOS!$C:$C,"00")</f>
        <v>26.531997178728901</v>
      </c>
      <c r="G14" s="194">
        <f>SUMIFS(DATOS!$F:$F,DATOS!$D:$D,$A14,DATOS!$A:$A,'Cuadro 2-Bocas del Toro'!G$6,DATOS!$B:$B,"B100101_13",DATOS!$G:$G,"0311",DATOS!$C:$C,"00")</f>
        <v>36.577238689433756</v>
      </c>
      <c r="H14" s="194">
        <f>SUMIFS(DATOS!$F:$F,DATOS!$D:$D,$A14,DATOS!$A:$A,'Cuadro 2-Bocas del Toro'!H$6,DATOS!$B:$B,"B100101_13",DATOS!$G:$G,"0311",DATOS!$C:$C,"00")</f>
        <v>36.857557919370208</v>
      </c>
      <c r="I14" s="195">
        <f>SUMIFS(DATOS!$F:$F,DATOS!$D:$D,$A14,DATOS!$A:$A,'Cuadro 2-Bocas del Toro'!I$6,DATOS!$B:$B,"B100101_13",DATOS!$G:$G,"0311",DATOS!$C:$C,"00")</f>
        <v>38.108316981578788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Toro'!C$6,DATOS!$B:$B,"B100101_13",DATOS!$G:$G,"0311",DATOS!$C:$C,"00")</f>
        <v>224.94032585858301</v>
      </c>
      <c r="D15" s="194">
        <f>SUMIFS(DATOS!$F:$F,DATOS!$D:$D,$A15,DATOS!$A:$A,'Cuadro 2-Bocas del Toro'!D$6,DATOS!$B:$B,"B100101_13",DATOS!$G:$G,"0311",DATOS!$C:$C,"00")</f>
        <v>226.33689597512742</v>
      </c>
      <c r="E15" s="194">
        <f>SUMIFS(DATOS!$F:$F,DATOS!$D:$D,$A15,DATOS!$A:$A,'Cuadro 2-Bocas del Toro'!E$6,DATOS!$B:$B,"B100101_13",DATOS!$G:$G,"0311",DATOS!$C:$C,"00")</f>
        <v>229.50594125599565</v>
      </c>
      <c r="F15" s="194">
        <f>SUMIFS(DATOS!$F:$F,DATOS!$D:$D,$A15,DATOS!$A:$A,'Cuadro 2-Bocas del Toro'!F$6,DATOS!$B:$B,"B100101_13",DATOS!$G:$G,"0311",DATOS!$C:$C,"00")</f>
        <v>243.8788720706967</v>
      </c>
      <c r="G15" s="194">
        <f>SUMIFS(DATOS!$F:$F,DATOS!$D:$D,$A15,DATOS!$A:$A,'Cuadro 2-Bocas del Toro'!G$6,DATOS!$B:$B,"B100101_13",DATOS!$G:$G,"0311",DATOS!$C:$C,"00")</f>
        <v>248.1251352605203</v>
      </c>
      <c r="H15" s="194">
        <f>SUMIFS(DATOS!$F:$F,DATOS!$D:$D,$A15,DATOS!$A:$A,'Cuadro 2-Bocas del Toro'!H$6,DATOS!$B:$B,"B100101_13",DATOS!$G:$G,"0311",DATOS!$C:$C,"00")</f>
        <v>265.65173125436496</v>
      </c>
      <c r="I15" s="195">
        <f>SUMIFS(DATOS!$F:$F,DATOS!$D:$D,$A15,DATOS!$A:$A,'Cuadro 2-Bocas del Toro'!I$6,DATOS!$B:$B,"B100101_13",DATOS!$G:$G,"0311",DATOS!$C:$C,"00")</f>
        <v>286.79247820255381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Toro'!C$6,DATOS!$B:$B,"B100101_13",DATOS!$G:$G,"0311",DATOS!$C:$C,"00")</f>
        <v>65.155325613965573</v>
      </c>
      <c r="D16" s="194">
        <f>SUMIFS(DATOS!$F:$F,DATOS!$D:$D,$A16,DATOS!$A:$A,'Cuadro 2-Bocas del Toro'!D$6,DATOS!$B:$B,"B100101_13",DATOS!$G:$G,"0311",DATOS!$C:$C,"00")</f>
        <v>66.664287800497291</v>
      </c>
      <c r="E16" s="194">
        <f>SUMIFS(DATOS!$F:$F,DATOS!$D:$D,$A16,DATOS!$A:$A,'Cuadro 2-Bocas del Toro'!E$6,DATOS!$B:$B,"B100101_13",DATOS!$G:$G,"0311",DATOS!$C:$C,"00")</f>
        <v>64.175210592347611</v>
      </c>
      <c r="F16" s="194">
        <f>SUMIFS(DATOS!$F:$F,DATOS!$D:$D,$A16,DATOS!$A:$A,'Cuadro 2-Bocas del Toro'!F$6,DATOS!$B:$B,"B100101_13",DATOS!$G:$G,"0311",DATOS!$C:$C,"00")</f>
        <v>70.662012318783709</v>
      </c>
      <c r="G16" s="194">
        <f>SUMIFS(DATOS!$F:$F,DATOS!$D:$D,$A16,DATOS!$A:$A,'Cuadro 2-Bocas del Toro'!G$6,DATOS!$B:$B,"B100101_13",DATOS!$G:$G,"0311",DATOS!$C:$C,"00")</f>
        <v>76.091801117418271</v>
      </c>
      <c r="H16" s="194">
        <f>SUMIFS(DATOS!$F:$F,DATOS!$D:$D,$A16,DATOS!$A:$A,'Cuadro 2-Bocas del Toro'!H$6,DATOS!$B:$B,"B100101_13",DATOS!$G:$G,"0311",DATOS!$C:$C,"00")</f>
        <v>111.39540352195667</v>
      </c>
      <c r="I16" s="195">
        <f>SUMIFS(DATOS!$F:$F,DATOS!$D:$D,$A16,DATOS!$A:$A,'Cuadro 2-Bocas del Toro'!I$6,DATOS!$B:$B,"B100101_13",DATOS!$G:$G,"0311",DATOS!$C:$C,"00")</f>
        <v>125.83455167041853</v>
      </c>
    </row>
    <row r="17" spans="1:16" ht="32.25" customHeight="1">
      <c r="A17" s="56" t="s">
        <v>70</v>
      </c>
      <c r="B17" s="60" t="s">
        <v>74</v>
      </c>
      <c r="C17" s="194">
        <f>SUMIFS(DATOS!$F:$F,DATOS!$D:$D,$A17,DATOS!$A:$A,'Cuadro 2-Bocas del Toro'!C$6,DATOS!$B:$B,"B100101_13",DATOS!$G:$G,"0311",DATOS!$C:$C,"00")</f>
        <v>968.36584112064145</v>
      </c>
      <c r="D17" s="194">
        <f>SUMIFS(DATOS!$F:$F,DATOS!$D:$D,$A17,DATOS!$A:$A,'Cuadro 2-Bocas del Toro'!D$6,DATOS!$B:$B,"B100101_13",DATOS!$G:$G,"0311",DATOS!$C:$C,"00")</f>
        <v>1220.8533328079611</v>
      </c>
      <c r="E17" s="194">
        <f>SUMIFS(DATOS!$F:$F,DATOS!$D:$D,$A17,DATOS!$A:$A,'Cuadro 2-Bocas del Toro'!E$6,DATOS!$B:$B,"B100101_13",DATOS!$G:$G,"0311",DATOS!$C:$C,"00")</f>
        <v>1019.991597928525</v>
      </c>
      <c r="F17" s="194">
        <f>SUMIFS(DATOS!$F:$F,DATOS!$D:$D,$A17,DATOS!$A:$A,'Cuadro 2-Bocas del Toro'!F$6,DATOS!$B:$B,"B100101_13",DATOS!$G:$G,"0311",DATOS!$C:$C,"00")</f>
        <v>1172.456050608409</v>
      </c>
      <c r="G17" s="194">
        <f>SUMIFS(DATOS!$F:$F,DATOS!$D:$D,$A17,DATOS!$A:$A,'Cuadro 2-Bocas del Toro'!G$6,DATOS!$B:$B,"B100101_13",DATOS!$G:$G,"0311",DATOS!$C:$C,"00")</f>
        <v>1201.08017911768</v>
      </c>
      <c r="H17" s="194">
        <f>SUMIFS(DATOS!$F:$F,DATOS!$D:$D,$A17,DATOS!$A:$A,'Cuadro 2-Bocas del Toro'!H$6,DATOS!$B:$B,"B100101_13",DATOS!$G:$G,"0311",DATOS!$C:$C,"00")</f>
        <v>1222.4006099759065</v>
      </c>
      <c r="I17" s="195">
        <f>SUMIFS(DATOS!$F:$F,DATOS!$D:$D,$A17,DATOS!$A:$A,'Cuadro 2-Bocas del Toro'!I$6,DATOS!$B:$B,"B100101_13",DATOS!$G:$G,"0311",DATOS!$C:$C,"00")</f>
        <v>1209.8690481395652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Toro'!C$6,DATOS!$B:$B,"B100101_13",DATOS!$G:$G,"0311",DATOS!$C:$C,"00")</f>
        <v>43.80080942019287</v>
      </c>
      <c r="D18" s="194">
        <f>SUMIFS(DATOS!$F:$F,DATOS!$D:$D,$A18,DATOS!$A:$A,'Cuadro 2-Bocas del Toro'!D$6,DATOS!$B:$B,"B100101_13",DATOS!$G:$G,"0311",DATOS!$C:$C,"00")</f>
        <v>44.036910664624536</v>
      </c>
      <c r="E18" s="194">
        <f>SUMIFS(DATOS!$F:$F,DATOS!$D:$D,$A18,DATOS!$A:$A,'Cuadro 2-Bocas del Toro'!E$6,DATOS!$B:$B,"B100101_13",DATOS!$G:$G,"0311",DATOS!$C:$C,"00")</f>
        <v>40.088808191439654</v>
      </c>
      <c r="F18" s="194">
        <f>SUMIFS(DATOS!$F:$F,DATOS!$D:$D,$A18,DATOS!$A:$A,'Cuadro 2-Bocas del Toro'!F$6,DATOS!$B:$B,"B100101_13",DATOS!$G:$G,"0311",DATOS!$C:$C,"00")</f>
        <v>37.773261171311752</v>
      </c>
      <c r="G18" s="194">
        <f>SUMIFS(DATOS!$F:$F,DATOS!$D:$D,$A18,DATOS!$A:$A,'Cuadro 2-Bocas del Toro'!G$6,DATOS!$B:$B,"B100101_13",DATOS!$G:$G,"0311",DATOS!$C:$C,"00")</f>
        <v>46.916485301026057</v>
      </c>
      <c r="H18" s="194">
        <f>SUMIFS(DATOS!$F:$F,DATOS!$D:$D,$A18,DATOS!$A:$A,'Cuadro 2-Bocas del Toro'!H$6,DATOS!$B:$B,"B100101_13",DATOS!$G:$G,"0311",DATOS!$C:$C,"00")</f>
        <v>53.268572435808863</v>
      </c>
      <c r="I18" s="195">
        <f>SUMIFS(DATOS!$F:$F,DATOS!$D:$D,$A18,DATOS!$A:$A,'Cuadro 2-Bocas del Toro'!I$6,DATOS!$B:$B,"B100101_13",DATOS!$G:$G,"0311",DATOS!$C:$C,"00")</f>
        <v>52.237717261518675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Toro'!C$6,DATOS!$B:$B,"B100101_13",DATOS!$G:$G,"0311",DATOS!$C:$C,"00")</f>
        <v>3.8008328638290796</v>
      </c>
      <c r="D19" s="194">
        <f>SUMIFS(DATOS!$F:$F,DATOS!$D:$D,$A19,DATOS!$A:$A,'Cuadro 2-Bocas del Toro'!D$6,DATOS!$B:$B,"B100101_13",DATOS!$G:$G,"0311",DATOS!$C:$C,"00")</f>
        <v>4.5318954832548828</v>
      </c>
      <c r="E19" s="194">
        <f>SUMIFS(DATOS!$F:$F,DATOS!$D:$D,$A19,DATOS!$A:$A,'Cuadro 2-Bocas del Toro'!E$6,DATOS!$B:$B,"B100101_13",DATOS!$G:$G,"0311",DATOS!$C:$C,"00")</f>
        <v>5.4175216739145871</v>
      </c>
      <c r="F19" s="194">
        <f>SUMIFS(DATOS!$F:$F,DATOS!$D:$D,$A19,DATOS!$A:$A,'Cuadro 2-Bocas del Toro'!F$6,DATOS!$B:$B,"B100101_13",DATOS!$G:$G,"0311",DATOS!$C:$C,"00")</f>
        <v>8.0712334285754963</v>
      </c>
      <c r="G19" s="194">
        <f>SUMIFS(DATOS!$F:$F,DATOS!$D:$D,$A19,DATOS!$A:$A,'Cuadro 2-Bocas del Toro'!G$6,DATOS!$B:$B,"B100101_13",DATOS!$G:$G,"0311",DATOS!$C:$C,"00")</f>
        <v>9.0685595590617734</v>
      </c>
      <c r="H19" s="194">
        <f>SUMIFS(DATOS!$F:$F,DATOS!$D:$D,$A19,DATOS!$A:$A,'Cuadro 2-Bocas del Toro'!H$6,DATOS!$B:$B,"B100101_13",DATOS!$G:$G,"0311",DATOS!$C:$C,"00")</f>
        <v>8.9928748318959428</v>
      </c>
      <c r="I19" s="195">
        <f>SUMIFS(DATOS!$F:$F,DATOS!$D:$D,$A19,DATOS!$A:$A,'Cuadro 2-Bocas del Toro'!I$6,DATOS!$B:$B,"B100101_13",DATOS!$G:$G,"0311",DATOS!$C:$C,"00")</f>
        <v>10.907482621662229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Toro'!C$6,DATOS!$B:$B,"B100101_13",DATOS!$G:$G,"0311",DATOS!$C:$C,"00")</f>
        <v>5.5187423253543555</v>
      </c>
      <c r="D20" s="194">
        <f>SUMIFS(DATOS!$F:$F,DATOS!$D:$D,$A20,DATOS!$A:$A,'Cuadro 2-Bocas del Toro'!D$6,DATOS!$B:$B,"B100101_13",DATOS!$G:$G,"0311",DATOS!$C:$C,"00")</f>
        <v>5.041730220334113</v>
      </c>
      <c r="E20" s="194">
        <f>SUMIFS(DATOS!$F:$F,DATOS!$D:$D,$A20,DATOS!$A:$A,'Cuadro 2-Bocas del Toro'!E$6,DATOS!$B:$B,"B100101_13",DATOS!$G:$G,"0311",DATOS!$C:$C,"00")</f>
        <v>1.5876875776915185</v>
      </c>
      <c r="F20" s="194">
        <f>SUMIFS(DATOS!$F:$F,DATOS!$D:$D,$A20,DATOS!$A:$A,'Cuadro 2-Bocas del Toro'!F$6,DATOS!$B:$B,"B100101_13",DATOS!$G:$G,"0311",DATOS!$C:$C,"00")</f>
        <v>1.1362008282644029</v>
      </c>
      <c r="G20" s="194">
        <f>SUMIFS(DATOS!$F:$F,DATOS!$D:$D,$A20,DATOS!$A:$A,'Cuadro 2-Bocas del Toro'!G$6,DATOS!$B:$B,"B100101_13",DATOS!$G:$G,"0311",DATOS!$C:$C,"00")</f>
        <v>1.3504605779575791</v>
      </c>
      <c r="H20" s="194">
        <f>SUMIFS(DATOS!$F:$F,DATOS!$D:$D,$A20,DATOS!$A:$A,'Cuadro 2-Bocas del Toro'!H$6,DATOS!$B:$B,"B100101_13",DATOS!$G:$G,"0311",DATOS!$C:$C,"00")</f>
        <v>1.1640798139621271</v>
      </c>
      <c r="I20" s="195">
        <f>SUMIFS(DATOS!$F:$F,DATOS!$D:$D,$A20,DATOS!$A:$A,'Cuadro 2-Bocas del Toro'!I$6,DATOS!$B:$B,"B100101_13",DATOS!$G:$G,"0311",DATOS!$C:$C,"00")</f>
        <v>1.4081985892825102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Toro'!C$6,DATOS!$B:$B,"B100101_13",DATOS!$G:$G,"0311",DATOS!$C:$C,"00")</f>
        <v>48.185431317017702</v>
      </c>
      <c r="D21" s="196">
        <f>SUMIFS(DATOS!$F:$F,DATOS!$D:$D,$A21,DATOS!$A:$A,'Cuadro 2-Bocas del Toro'!D$6,DATOS!$B:$B,"B100101_13",DATOS!$G:$G,"0311",DATOS!$C:$C,"00")</f>
        <v>72.873416079723313</v>
      </c>
      <c r="E21" s="196">
        <f>SUMIFS(DATOS!$F:$F,DATOS!$D:$D,$A21,DATOS!$A:$A,'Cuadro 2-Bocas del Toro'!E$6,DATOS!$B:$B,"B100101_13",DATOS!$G:$G,"0311",DATOS!$C:$C,"00")</f>
        <v>58.556176848575724</v>
      </c>
      <c r="F21" s="196">
        <f>SUMIFS(DATOS!$F:$F,DATOS!$D:$D,$A21,DATOS!$A:$A,'Cuadro 2-Bocas del Toro'!F$6,DATOS!$B:$B,"B100101_13",DATOS!$G:$G,"0311",DATOS!$C:$C,"00")</f>
        <v>49.006984494792675</v>
      </c>
      <c r="G21" s="196">
        <f>SUMIFS(DATOS!$F:$F,DATOS!$D:$D,$A21,DATOS!$A:$A,'Cuadro 2-Bocas del Toro'!G$6,DATOS!$B:$B,"B100101_13",DATOS!$G:$G,"0311",DATOS!$C:$C,"00")</f>
        <v>61.411580221673852</v>
      </c>
      <c r="H21" s="197">
        <f>SUMIFS(DATOS!$F:$F,DATOS!$D:$D,$A21,DATOS!$A:$A,'Cuadro 2-Bocas del Toro'!H$6,DATOS!$B:$B,"B100101_13",DATOS!$G:$G,"0311",DATOS!$C:$C,"00")</f>
        <v>62.327055127101474</v>
      </c>
      <c r="I21" s="198">
        <f>SUMIFS(DATOS!$F:$F,DATOS!$D:$D,$A21,DATOS!$A:$A,'Cuadro 2-Bocas del Toro'!I$6,DATOS!$B:$B,"B100101_13",DATOS!$G:$G,"0311",DATOS!$C:$C,"00")</f>
        <v>61.805022157069942</v>
      </c>
    </row>
    <row r="22" spans="1:16" ht="32.25" customHeight="1">
      <c r="A22" s="25"/>
      <c r="B22" s="22" t="s">
        <v>51</v>
      </c>
      <c r="C22" s="196">
        <f>SUMIFS(DATOS!$F:$F,DATOS!$D:$D,"GOB",DATOS!$A:$A,'Cuadro 2-Bocas del Toro'!C$6,DATOS!$B:$B,"B100103_13",DATOS!$G:$G,"0311",DATOS!$C:$C,"00")</f>
        <v>938.60041515875309</v>
      </c>
      <c r="D22" s="196">
        <f>SUMIFS(DATOS!$F:$F,DATOS!$D:$D,"GOB",DATOS!$A:$A,'Cuadro 2-Bocas del Toro'!D$6,DATOS!$B:$B,"B100103_13",DATOS!$G:$G,"0311",DATOS!$C:$C,"00")</f>
        <v>1005.6665967878395</v>
      </c>
      <c r="E22" s="196">
        <f>SUMIFS(DATOS!$F:$F,DATOS!$D:$D,"GOB",DATOS!$A:$A,'Cuadro 2-Bocas del Toro'!E$6,DATOS!$B:$B,"B100103_13",DATOS!$G:$G,"0311",DATOS!$C:$C,"00")</f>
        <v>1107.234426849086</v>
      </c>
      <c r="F22" s="196">
        <f>SUMIFS(DATOS!$F:$F,DATOS!$D:$D,"GOB",DATOS!$A:$A,'Cuadro 2-Bocas del Toro'!F$6,DATOS!$B:$B,"B100103_13",DATOS!$G:$G,"0311",DATOS!$C:$C,"00")</f>
        <v>1164.6576076150011</v>
      </c>
      <c r="G22" s="196">
        <f>SUMIFS(DATOS!$F:$F,DATOS!$D:$D,"GOB",DATOS!$A:$A,'Cuadro 2-Bocas del Toro'!G$6,DATOS!$B:$B,"B100103_13",DATOS!$G:$G,"0311",DATOS!$C:$C,"00")</f>
        <v>1280.4870807413654</v>
      </c>
      <c r="H22" s="197">
        <f>SUMIFS(DATOS!$F:$F,DATOS!$D:$D,"GOB",DATOS!$A:$A,'Cuadro 2-Bocas del Toro'!H$6,DATOS!$B:$B,"B100103_13",DATOS!$G:$G,"0311",DATOS!$C:$C,"00")</f>
        <v>1344.2107148170282</v>
      </c>
      <c r="I22" s="198">
        <f>SUMIFS(DATOS!$F:$F,DATOS!$D:$D,"GOB",DATOS!$A:$A,'Cuadro 2-Bocas del Toro'!I$6,DATOS!$B:$B,"B100103_13",DATOS!$G:$G,"0311",DATOS!$C:$C,"00")</f>
        <v>1396.692827440228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Toro'!C$6,DATOS!$B:$B,"VAB_13",DATOS!$G:$G,"0311",DATOS!$C:$C,"00")</f>
        <v>5832.2059699454549</v>
      </c>
      <c r="D23" s="199">
        <f>SUMIFS(DATOS!$F:$F,DATOS!$D:$D,"VAB",DATOS!$A:$A,'Cuadro 2-Bocas del Toro'!D$6,DATOS!$B:$B,"VAB_13",DATOS!$G:$G,"0311",DATOS!$C:$C,"00")</f>
        <v>6719.3952237335934</v>
      </c>
      <c r="E23" s="199">
        <f>SUMIFS(DATOS!$F:$F,DATOS!$D:$D,"VAB",DATOS!$A:$A,'Cuadro 2-Bocas del Toro'!E$6,DATOS!$B:$B,"VAB_13",DATOS!$G:$G,"0311",DATOS!$C:$C,"00")</f>
        <v>5843.1827348080078</v>
      </c>
      <c r="F23" s="199">
        <f>SUMIFS(DATOS!$F:$F,DATOS!$D:$D,"VAB",DATOS!$A:$A,'Cuadro 2-Bocas del Toro'!F$6,DATOS!$B:$B,"VAB_13",DATOS!$G:$G,"0311",DATOS!$C:$C,"00")</f>
        <v>6561.7035704097998</v>
      </c>
      <c r="G23" s="199">
        <f>SUMIFS(DATOS!$F:$F,DATOS!$D:$D,"VAB",DATOS!$A:$A,'Cuadro 2-Bocas del Toro'!G$6,DATOS!$B:$B,"VAB_13",DATOS!$G:$G,"0311",DATOS!$C:$C,"00")</f>
        <v>7255.1416241872494</v>
      </c>
      <c r="H23" s="200">
        <f>SUMIFS(DATOS!$F:$F,DATOS!$D:$D,"VAB",DATOS!$A:$A,'Cuadro 2-Bocas del Toro'!H$6,DATOS!$B:$B,"VAB_13",DATOS!$G:$G,"0311",DATOS!$C:$C,"00")</f>
        <v>8328.8409183530948</v>
      </c>
      <c r="I23" s="201">
        <f>SUMIFS(DATOS!$F:$F,DATOS!$D:$D,"VAB",DATOS!$A:$A,'Cuadro 2-Bocas del Toro'!I$6,DATOS!$B:$B,"VAB_13",DATOS!$G:$G,"0311",DATOS!$C:$C,"00")</f>
        <v>10329.655489358283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Toro'!C$6,DATOS!$B:$B,"IMP_13",DATOS!$G:$G,"0311",DATOS!$C:$C,"00")</f>
        <v>307.5787257635676</v>
      </c>
      <c r="D24" s="196">
        <f>SUMIFS(DATOS!$F:$F,DATOS!$D:$D,"IMP",DATOS!$A:$A,'Cuadro 2-Bocas del Toro'!D$6,DATOS!$B:$B,"IMP_13",DATOS!$G:$G,"0311",DATOS!$C:$C,"00")</f>
        <v>314.02913983416892</v>
      </c>
      <c r="E24" s="196">
        <f>SUMIFS(DATOS!$F:$F,DATOS!$D:$D,"IMP",DATOS!$A:$A,'Cuadro 2-Bocas del Toro'!E$6,DATOS!$B:$B,"IMP_13",DATOS!$G:$G,"0311",DATOS!$C:$C,"00")</f>
        <v>207.5238069308443</v>
      </c>
      <c r="F24" s="196">
        <f>SUMIFS(DATOS!$F:$F,DATOS!$D:$D,"IMP",DATOS!$A:$A,'Cuadro 2-Bocas del Toro'!F$6,DATOS!$B:$B,"IMP_13",DATOS!$G:$G,"0311",DATOS!$C:$C,"00")</f>
        <v>249.28979809372098</v>
      </c>
      <c r="G24" s="196">
        <f>SUMIFS(DATOS!$F:$F,DATOS!$D:$D,"IMP",DATOS!$A:$A,'Cuadro 2-Bocas del Toro'!G$6,DATOS!$B:$B,"IMP_13",DATOS!$G:$G,"0311",DATOS!$C:$C,"00")</f>
        <v>294.13254404309146</v>
      </c>
      <c r="H24" s="197">
        <f>SUMIFS(DATOS!$F:$F,DATOS!$D:$D,"IMP",DATOS!$A:$A,'Cuadro 2-Bocas del Toro'!H$6,DATOS!$B:$B,"IMP_13",DATOS!$G:$G,"0311",DATOS!$C:$C,"00")</f>
        <v>318.20330526086258</v>
      </c>
      <c r="I24" s="198">
        <f>SUMIFS(DATOS!$F:$F,DATOS!$D:$D,"IMP",DATOS!$A:$A,'Cuadro 2-Bocas del Toro'!I$6,DATOS!$B:$B,"IMP_13",DATOS!$G:$G,"0311",DATOS!$C:$C,"00")</f>
        <v>349.61807322508037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Toro'!C$6,DATOS!$B:$B,"PIB_13",DATOS!$G:$G,"0311",DATOS!$C:$C,"00")</f>
        <v>6139.7846957090223</v>
      </c>
      <c r="D25" s="199">
        <f>SUMIFS(DATOS!$F:$F,DATOS!$D:$D,"PIB",DATOS!$A:$A,'Cuadro 2-Bocas del Toro'!D$6,DATOS!$B:$B,"PIB_13",DATOS!$G:$G,"0311",DATOS!$C:$C,"00")</f>
        <v>7033.424363567764</v>
      </c>
      <c r="E25" s="199">
        <f>SUMIFS(DATOS!$F:$F,DATOS!$D:$D,"PIB",DATOS!$A:$A,'Cuadro 2-Bocas del Toro'!E$6,DATOS!$B:$B,"PIB_13",DATOS!$G:$G,"0311",DATOS!$C:$C,"00")</f>
        <v>6053.690921184234</v>
      </c>
      <c r="F25" s="199">
        <f>SUMIFS(DATOS!$F:$F,DATOS!$D:$D,"PIB",DATOS!$A:$A,'Cuadro 2-Bocas del Toro'!F$6,DATOS!$B:$B,"PIB_13",DATOS!$G:$G,"0311",DATOS!$C:$C,"00")</f>
        <v>6813.5673938295749</v>
      </c>
      <c r="G25" s="199">
        <f>SUMIFS(DATOS!$F:$F,DATOS!$D:$D,"PIB",DATOS!$A:$A,'Cuadro 2-Bocas del Toro'!G$6,DATOS!$B:$B,"PIB_13",DATOS!$G:$G,"0311",DATOS!$C:$C,"00")</f>
        <v>7551.4637552564955</v>
      </c>
      <c r="H25" s="200">
        <f>SUMIFS(DATOS!$F:$F,DATOS!$D:$D,"PIB",DATOS!$A:$A,'Cuadro 2-Bocas del Toro'!H$6,DATOS!$B:$B,"PIB_13",DATOS!$G:$G,"0311",DATOS!$C:$C,"00")</f>
        <v>8649.6593922623488</v>
      </c>
      <c r="I25" s="201">
        <f>SUMIFS(DATOS!$F:$F,DATOS!$D:$D,"PIB",DATOS!$A:$A,'Cuadro 2-Bocas del Toro'!I$6,DATOS!$B:$B,"PIB_13",DATOS!$G:$G,"0311",DATOS!$C:$C,"00")</f>
        <v>10686.52401872818</v>
      </c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0.25" customHeight="1" thickBot="1">
      <c r="A27" s="192" t="s">
        <v>353</v>
      </c>
      <c r="B27" s="192"/>
      <c r="C27" s="192"/>
      <c r="D27" s="192"/>
      <c r="E27" s="192"/>
      <c r="F27" s="192"/>
      <c r="G27" s="192"/>
      <c r="H27" s="192"/>
      <c r="I27" s="192"/>
      <c r="J27" s="90"/>
      <c r="K27" s="75"/>
    </row>
    <row r="28" spans="1:16" ht="32.1" customHeight="1" thickTop="1">
      <c r="A28" s="217" t="s">
        <v>29</v>
      </c>
      <c r="B28" s="217" t="s">
        <v>30</v>
      </c>
      <c r="C28" s="217" t="s">
        <v>115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5.0120177087236577</v>
      </c>
      <c r="D30" s="19">
        <f t="shared" ref="D30:I30" si="0">IFERROR(D7/D$25*100,"")</f>
        <v>4.8273174648503216</v>
      </c>
      <c r="E30" s="19">
        <f t="shared" si="0"/>
        <v>5.1124813919397862</v>
      </c>
      <c r="F30" s="19">
        <f t="shared" si="0"/>
        <v>4.894474541260994</v>
      </c>
      <c r="G30" s="19">
        <f t="shared" si="0"/>
        <v>4.418968210183797</v>
      </c>
      <c r="H30" s="19">
        <f t="shared" si="0"/>
        <v>4.232987502581544</v>
      </c>
      <c r="I30" s="143">
        <f t="shared" si="0"/>
        <v>3.670787111190394</v>
      </c>
      <c r="J30" s="50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46" si="1">IFERROR(C8/C$25*100,"")</f>
        <v>1.6097301166879379</v>
      </c>
      <c r="D31" s="19">
        <f t="shared" si="1"/>
        <v>1.741251366255796</v>
      </c>
      <c r="E31" s="19">
        <f t="shared" si="1"/>
        <v>1.1407212451505218</v>
      </c>
      <c r="F31" s="19">
        <f t="shared" si="1"/>
        <v>1.3292105927896427</v>
      </c>
      <c r="G31" s="19">
        <f t="shared" si="1"/>
        <v>1.6265905726994003</v>
      </c>
      <c r="H31" s="19">
        <f t="shared" si="1"/>
        <v>1.4459027395028361</v>
      </c>
      <c r="I31" s="106">
        <f t="shared" si="1"/>
        <v>2.290684383641703</v>
      </c>
      <c r="J31" s="50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si="1"/>
        <v>9.2439737661942551</v>
      </c>
      <c r="D32" s="19">
        <f t="shared" si="1"/>
        <v>8.2151510422226401</v>
      </c>
      <c r="E32" s="19">
        <f t="shared" si="1"/>
        <v>7.5493706245751735</v>
      </c>
      <c r="F32" s="19">
        <f t="shared" si="1"/>
        <v>7.7201167032577001</v>
      </c>
      <c r="G32" s="19">
        <f t="shared" si="1"/>
        <v>7.2781499177267897</v>
      </c>
      <c r="H32" s="19">
        <f t="shared" si="1"/>
        <v>6.6423918167770131</v>
      </c>
      <c r="I32" s="106">
        <f t="shared" si="1"/>
        <v>5.5092785251312364</v>
      </c>
      <c r="J32" s="50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si="1"/>
        <v>1.6345228397364024</v>
      </c>
      <c r="D33" s="19">
        <f t="shared" si="1"/>
        <v>1.8576098210658225</v>
      </c>
      <c r="E33" s="19">
        <f t="shared" si="1"/>
        <v>1.7658777133326733</v>
      </c>
      <c r="F33" s="19">
        <f t="shared" si="1"/>
        <v>1.5074816687219443</v>
      </c>
      <c r="G33" s="19">
        <f t="shared" si="1"/>
        <v>1.8212478676633048</v>
      </c>
      <c r="H33" s="19">
        <f t="shared" si="1"/>
        <v>1.7169012283807197</v>
      </c>
      <c r="I33" s="106">
        <f t="shared" si="1"/>
        <v>1.313850403302061</v>
      </c>
      <c r="J33" s="50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73</v>
      </c>
      <c r="C34" s="19">
        <f t="shared" si="1"/>
        <v>23.306530242443706</v>
      </c>
      <c r="D34" s="19">
        <f t="shared" si="1"/>
        <v>24.987247765910432</v>
      </c>
      <c r="E34" s="19">
        <f t="shared" si="1"/>
        <v>19.803870247829082</v>
      </c>
      <c r="F34" s="19">
        <f t="shared" si="1"/>
        <v>19.871921688301903</v>
      </c>
      <c r="G34" s="19">
        <f t="shared" si="1"/>
        <v>21.53493462758221</v>
      </c>
      <c r="H34" s="19">
        <f t="shared" si="1"/>
        <v>27.066845199091112</v>
      </c>
      <c r="I34" s="106">
        <f t="shared" si="1"/>
        <v>38.392569437497045</v>
      </c>
      <c r="J34" s="50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si="1"/>
        <v>1.810074079928349</v>
      </c>
      <c r="D35" s="19">
        <f t="shared" si="1"/>
        <v>1.7606131731682253</v>
      </c>
      <c r="E35" s="19">
        <f t="shared" si="1"/>
        <v>1.4834165027265045</v>
      </c>
      <c r="F35" s="19">
        <f t="shared" si="1"/>
        <v>1.4001673033786322</v>
      </c>
      <c r="G35" s="19">
        <f t="shared" si="1"/>
        <v>1.5601179445382338</v>
      </c>
      <c r="H35" s="19">
        <f t="shared" si="1"/>
        <v>1.3277923121862667</v>
      </c>
      <c r="I35" s="106">
        <f t="shared" si="1"/>
        <v>1.0422577481511703</v>
      </c>
      <c r="J35" s="50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si="1"/>
        <v>13.933714123268693</v>
      </c>
      <c r="D36" s="19">
        <f t="shared" si="1"/>
        <v>13.671198672626881</v>
      </c>
      <c r="E36" s="19">
        <f t="shared" si="1"/>
        <v>17.623339483657798</v>
      </c>
      <c r="F36" s="19">
        <f t="shared" si="1"/>
        <v>18.95425741806195</v>
      </c>
      <c r="G36" s="19">
        <f t="shared" si="1"/>
        <v>18.592155433106033</v>
      </c>
      <c r="H36" s="19">
        <f t="shared" si="1"/>
        <v>17.16630324307765</v>
      </c>
      <c r="I36" s="106">
        <f t="shared" si="1"/>
        <v>13.009311797746101</v>
      </c>
      <c r="J36" s="50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si="1"/>
        <v>1.005824218102751</v>
      </c>
      <c r="D37" s="19">
        <f t="shared" si="1"/>
        <v>0.85436099695097234</v>
      </c>
      <c r="E37" s="19">
        <f t="shared" si="1"/>
        <v>0.39932854902175358</v>
      </c>
      <c r="F37" s="19">
        <f t="shared" si="1"/>
        <v>0.38939949728473372</v>
      </c>
      <c r="G37" s="19">
        <f t="shared" si="1"/>
        <v>0.48437282988973784</v>
      </c>
      <c r="H37" s="19">
        <f t="shared" si="1"/>
        <v>0.42611571447936497</v>
      </c>
      <c r="I37" s="106">
        <f t="shared" si="1"/>
        <v>0.35660161259913697</v>
      </c>
      <c r="J37" s="50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si="1"/>
        <v>3.6636516914964377</v>
      </c>
      <c r="D38" s="19">
        <f t="shared" si="1"/>
        <v>3.2180184825406459</v>
      </c>
      <c r="E38" s="19">
        <f t="shared" si="1"/>
        <v>3.791173752410526</v>
      </c>
      <c r="F38" s="19">
        <f t="shared" si="1"/>
        <v>3.5793125388552767</v>
      </c>
      <c r="G38" s="19">
        <f t="shared" si="1"/>
        <v>3.285788600757078</v>
      </c>
      <c r="H38" s="19">
        <f t="shared" si="1"/>
        <v>3.0712392154077968</v>
      </c>
      <c r="I38" s="106">
        <f t="shared" si="1"/>
        <v>2.683683466204247</v>
      </c>
      <c r="J38" s="50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si="1"/>
        <v>1.061198866786019</v>
      </c>
      <c r="D39" s="19">
        <f t="shared" si="1"/>
        <v>0.94782120848287998</v>
      </c>
      <c r="E39" s="19">
        <f t="shared" si="1"/>
        <v>1.0601005473829763</v>
      </c>
      <c r="F39" s="19">
        <f t="shared" si="1"/>
        <v>1.037078056684019</v>
      </c>
      <c r="G39" s="19">
        <f t="shared" si="1"/>
        <v>1.0076430687289144</v>
      </c>
      <c r="H39" s="19">
        <f t="shared" si="1"/>
        <v>1.2878588447263795</v>
      </c>
      <c r="I39" s="106">
        <f t="shared" si="1"/>
        <v>1.1775068436649085</v>
      </c>
      <c r="J39" s="50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74</v>
      </c>
      <c r="C40" s="19">
        <f t="shared" si="1"/>
        <v>15.771983695086469</v>
      </c>
      <c r="D40" s="19">
        <f t="shared" si="1"/>
        <v>17.3578796003242</v>
      </c>
      <c r="E40" s="19">
        <f t="shared" si="1"/>
        <v>16.849086139485173</v>
      </c>
      <c r="F40" s="19">
        <f t="shared" si="1"/>
        <v>17.20766791960105</v>
      </c>
      <c r="G40" s="19">
        <f t="shared" si="1"/>
        <v>15.905263112487569</v>
      </c>
      <c r="H40" s="19">
        <f t="shared" si="1"/>
        <v>14.132355443607628</v>
      </c>
      <c r="I40" s="106">
        <f t="shared" si="1"/>
        <v>11.321446019484581</v>
      </c>
      <c r="J40" s="50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si="1"/>
        <v>0.71339324733657872</v>
      </c>
      <c r="D41" s="19">
        <f t="shared" si="1"/>
        <v>0.62610910970664713</v>
      </c>
      <c r="E41" s="19">
        <f t="shared" si="1"/>
        <v>0.66222092791611187</v>
      </c>
      <c r="F41" s="19">
        <f t="shared" si="1"/>
        <v>0.55438302709854381</v>
      </c>
      <c r="G41" s="19">
        <f t="shared" si="1"/>
        <v>0.6212899488310194</v>
      </c>
      <c r="H41" s="19">
        <f t="shared" si="1"/>
        <v>0.6158458965847935</v>
      </c>
      <c r="I41" s="106">
        <f t="shared" si="1"/>
        <v>0.48881860153939527</v>
      </c>
      <c r="J41" s="50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si="1"/>
        <v>6.1904986122484205E-2</v>
      </c>
      <c r="D42" s="19">
        <f t="shared" si="1"/>
        <v>6.4433698992051716E-2</v>
      </c>
      <c r="E42" s="19">
        <f t="shared" si="1"/>
        <v>8.9491216919525218E-2</v>
      </c>
      <c r="F42" s="19">
        <f t="shared" si="1"/>
        <v>0.11845826073262113</v>
      </c>
      <c r="G42" s="19">
        <f t="shared" si="1"/>
        <v>0.12009008919296267</v>
      </c>
      <c r="H42" s="19">
        <f t="shared" si="1"/>
        <v>0.10396796479570769</v>
      </c>
      <c r="I42" s="106">
        <f t="shared" si="1"/>
        <v>0.10206763773278214</v>
      </c>
      <c r="J42" s="50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si="1"/>
        <v>8.9884948721594402E-2</v>
      </c>
      <c r="D43" s="19">
        <f t="shared" si="1"/>
        <v>7.1682440298208486E-2</v>
      </c>
      <c r="E43" s="19">
        <f t="shared" si="1"/>
        <v>2.6226769723832088E-2</v>
      </c>
      <c r="F43" s="19">
        <f t="shared" si="1"/>
        <v>1.6675564540439655E-2</v>
      </c>
      <c r="G43" s="19">
        <f t="shared" si="1"/>
        <v>1.7883427925050127E-2</v>
      </c>
      <c r="H43" s="19">
        <f t="shared" si="1"/>
        <v>1.3458100038060087E-2</v>
      </c>
      <c r="I43" s="106">
        <f t="shared" si="1"/>
        <v>1.3177330503488655E-2</v>
      </c>
      <c r="J43" s="50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si="1"/>
        <v>0.78480653158234637</v>
      </c>
      <c r="D44" s="132">
        <f t="shared" si="1"/>
        <v>1.0361015106268614</v>
      </c>
      <c r="E44" s="132">
        <f t="shared" si="1"/>
        <v>0.96728058321683941</v>
      </c>
      <c r="F44" s="132">
        <f t="shared" si="1"/>
        <v>0.71925588553176745</v>
      </c>
      <c r="G44" s="132">
        <f t="shared" si="1"/>
        <v>0.81324074658937329</v>
      </c>
      <c r="H44" s="132">
        <f t="shared" si="1"/>
        <v>0.7205723636107203</v>
      </c>
      <c r="I44" s="117">
        <f t="shared" si="1"/>
        <v>0.5783454194156713</v>
      </c>
      <c r="J44" s="50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51</v>
      </c>
      <c r="C45" s="132">
        <f t="shared" si="1"/>
        <v>15.287187770846799</v>
      </c>
      <c r="D45" s="132">
        <f t="shared" si="1"/>
        <v>14.298392145895015</v>
      </c>
      <c r="E45" s="132">
        <f t="shared" si="1"/>
        <v>18.290237167121294</v>
      </c>
      <c r="F45" s="132">
        <f t="shared" si="1"/>
        <v>17.093213294840602</v>
      </c>
      <c r="G45" s="132">
        <f t="shared" si="1"/>
        <v>16.956806286066481</v>
      </c>
      <c r="H45" s="132">
        <f t="shared" si="1"/>
        <v>15.540620200831345</v>
      </c>
      <c r="I45" s="117">
        <f t="shared" si="1"/>
        <v>13.069664420278453</v>
      </c>
      <c r="J45" s="50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si="1"/>
        <v>94.990398833064489</v>
      </c>
      <c r="D46" s="144">
        <f t="shared" si="1"/>
        <v>95.535188499917595</v>
      </c>
      <c r="E46" s="144">
        <f t="shared" si="1"/>
        <v>96.522647272268642</v>
      </c>
      <c r="F46" s="144">
        <f t="shared" si="1"/>
        <v>96.303495527939376</v>
      </c>
      <c r="G46" s="144">
        <f t="shared" si="1"/>
        <v>96.075964333895143</v>
      </c>
      <c r="H46" s="144">
        <f t="shared" si="1"/>
        <v>96.290969859503988</v>
      </c>
      <c r="I46" s="129">
        <f t="shared" si="1"/>
        <v>96.66057430138666</v>
      </c>
      <c r="J46" s="93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8" si="2">IFERROR(C24/C$25*100,"")</f>
        <v>5.0096011669355196</v>
      </c>
      <c r="D47" s="132">
        <f t="shared" si="2"/>
        <v>4.464811500082372</v>
      </c>
      <c r="E47" s="132">
        <f t="shared" si="2"/>
        <v>3.4280542173806281</v>
      </c>
      <c r="F47" s="132">
        <f t="shared" si="2"/>
        <v>3.6587265331737959</v>
      </c>
      <c r="G47" s="132">
        <f t="shared" si="2"/>
        <v>3.8950401349453454</v>
      </c>
      <c r="H47" s="132">
        <f t="shared" si="2"/>
        <v>3.6787957864042022</v>
      </c>
      <c r="I47" s="117">
        <f t="shared" si="2"/>
        <v>3.2715789775269601</v>
      </c>
      <c r="J47" s="50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si="2"/>
        <v>100</v>
      </c>
      <c r="D48" s="144">
        <f t="shared" si="2"/>
        <v>100</v>
      </c>
      <c r="E48" s="144">
        <f t="shared" si="2"/>
        <v>100</v>
      </c>
      <c r="F48" s="144">
        <f t="shared" si="2"/>
        <v>100</v>
      </c>
      <c r="G48" s="144">
        <f t="shared" si="2"/>
        <v>100</v>
      </c>
      <c r="H48" s="144">
        <f t="shared" si="2"/>
        <v>100</v>
      </c>
      <c r="I48" s="129">
        <f t="shared" si="2"/>
        <v>100</v>
      </c>
      <c r="K48" s="50"/>
    </row>
    <row r="49" spans="1:11">
      <c r="A49" s="7"/>
      <c r="B49" s="32"/>
      <c r="C49" s="15"/>
      <c r="D49" s="15"/>
      <c r="E49" s="15"/>
      <c r="F49" s="15"/>
      <c r="G49" s="15"/>
    </row>
    <row r="50" spans="1:11" s="74" customFormat="1" ht="20.25" customHeight="1" thickBot="1">
      <c r="A50" s="190" t="s">
        <v>210</v>
      </c>
      <c r="B50" s="190"/>
      <c r="C50" s="190"/>
      <c r="D50" s="190"/>
      <c r="E50" s="190"/>
      <c r="F50" s="190"/>
      <c r="G50" s="190"/>
      <c r="H50" s="190"/>
      <c r="I50" s="190"/>
      <c r="J50" s="130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10.3333852764477</v>
      </c>
      <c r="E53" s="20">
        <f t="shared" ref="E53:I53" si="3">IFERROR(E7/D7*100-100,"")</f>
        <v>-8.8452505369666028</v>
      </c>
      <c r="F53" s="20">
        <f t="shared" si="3"/>
        <v>7.7528202102691921</v>
      </c>
      <c r="G53" s="20">
        <f t="shared" si="3"/>
        <v>6.2509327098950962E-2</v>
      </c>
      <c r="H53" s="19">
        <f t="shared" si="3"/>
        <v>9.7220650660173789</v>
      </c>
      <c r="I53" s="143">
        <f t="shared" si="3"/>
        <v>7.1395139948377846</v>
      </c>
    </row>
    <row r="54" spans="1:11" ht="32.25" customHeight="1">
      <c r="A54" s="56" t="s">
        <v>1</v>
      </c>
      <c r="B54" s="57" t="s">
        <v>31</v>
      </c>
      <c r="D54" s="20">
        <f t="shared" ref="D54:I69" si="4">IFERROR(D8/C8*100-100,"")</f>
        <v>23.91448615257201</v>
      </c>
      <c r="E54" s="20">
        <f t="shared" si="4"/>
        <v>-43.613974668011636</v>
      </c>
      <c r="F54" s="20">
        <f t="shared" si="4"/>
        <v>31.150084806305387</v>
      </c>
      <c r="G54" s="20">
        <f t="shared" si="4"/>
        <v>35.625403608829743</v>
      </c>
      <c r="H54" s="19">
        <f t="shared" si="4"/>
        <v>1.8189686116486712</v>
      </c>
      <c r="I54" s="106">
        <f t="shared" si="4"/>
        <v>95.73281164502626</v>
      </c>
    </row>
    <row r="55" spans="1:11" ht="32.25" customHeight="1">
      <c r="A55" s="56" t="s">
        <v>2</v>
      </c>
      <c r="B55" s="57" t="s">
        <v>3</v>
      </c>
      <c r="D55" s="20">
        <f t="shared" si="4"/>
        <v>1.8053327881653018</v>
      </c>
      <c r="E55" s="20">
        <f t="shared" si="4"/>
        <v>-20.905075385746159</v>
      </c>
      <c r="F55" s="20">
        <f t="shared" si="4"/>
        <v>15.097908205206735</v>
      </c>
      <c r="G55" s="20">
        <f t="shared" si="4"/>
        <v>4.4849448655136968</v>
      </c>
      <c r="H55" s="19">
        <f t="shared" si="4"/>
        <v>4.5373187070229619</v>
      </c>
      <c r="I55" s="106">
        <f t="shared" si="4"/>
        <v>2.4725867084450499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4"/>
        <v>30.189867348739398</v>
      </c>
      <c r="E56" s="20">
        <f t="shared" si="4"/>
        <v>-18.179986042660303</v>
      </c>
      <c r="F56" s="20">
        <f t="shared" si="4"/>
        <v>-3.9171832140097393</v>
      </c>
      <c r="G56" s="20">
        <f t="shared" si="4"/>
        <v>33.897849780570965</v>
      </c>
      <c r="H56" s="19">
        <f t="shared" si="4"/>
        <v>7.980197847541433</v>
      </c>
      <c r="I56" s="106">
        <f t="shared" si="4"/>
        <v>-5.4551085656498657</v>
      </c>
    </row>
    <row r="57" spans="1:11" ht="32.25" customHeight="1">
      <c r="A57" s="56" t="s">
        <v>4</v>
      </c>
      <c r="B57" s="57" t="s">
        <v>73</v>
      </c>
      <c r="D57" s="20">
        <f t="shared" si="4"/>
        <v>22.815867416070603</v>
      </c>
      <c r="E57" s="20">
        <f t="shared" si="4"/>
        <v>-31.784185133158431</v>
      </c>
      <c r="F57" s="20">
        <f t="shared" si="4"/>
        <v>12.939043939303588</v>
      </c>
      <c r="G57" s="20">
        <f t="shared" si="4"/>
        <v>20.104775846167769</v>
      </c>
      <c r="H57" s="19">
        <f t="shared" si="4"/>
        <v>43.966665304831281</v>
      </c>
      <c r="I57" s="106">
        <f>IFERROR(I11/H11*100-100,"")</f>
        <v>75.245550259909209</v>
      </c>
    </row>
    <row r="58" spans="1:11" ht="32.25" customHeight="1">
      <c r="A58" s="56" t="s">
        <v>5</v>
      </c>
      <c r="B58" s="57" t="s">
        <v>54</v>
      </c>
      <c r="D58" s="20">
        <f t="shared" si="4"/>
        <v>11.424649626575146</v>
      </c>
      <c r="E58" s="20">
        <f t="shared" si="4"/>
        <v>-27.48087064824432</v>
      </c>
      <c r="F58" s="20">
        <f t="shared" si="4"/>
        <v>6.2358599820836531</v>
      </c>
      <c r="G58" s="20">
        <f t="shared" si="4"/>
        <v>23.490652868573349</v>
      </c>
      <c r="H58" s="19">
        <f t="shared" si="4"/>
        <v>-2.5143747576539823</v>
      </c>
      <c r="I58" s="106">
        <f t="shared" si="4"/>
        <v>-3.0199412899690685</v>
      </c>
    </row>
    <row r="59" spans="1:11" ht="32.25" customHeight="1">
      <c r="A59" s="56" t="s">
        <v>6</v>
      </c>
      <c r="B59" s="57" t="s">
        <v>55</v>
      </c>
      <c r="D59" s="20">
        <f t="shared" si="4"/>
        <v>12.396652844690095</v>
      </c>
      <c r="E59" s="20">
        <f t="shared" si="4"/>
        <v>10.951974388794298</v>
      </c>
      <c r="F59" s="20">
        <f t="shared" si="4"/>
        <v>21.052253721267263</v>
      </c>
      <c r="G59" s="20">
        <f t="shared" si="4"/>
        <v>8.7125175814694273</v>
      </c>
      <c r="H59" s="19">
        <f t="shared" si="4"/>
        <v>5.7584074483501837</v>
      </c>
      <c r="I59" s="106">
        <f t="shared" si="4"/>
        <v>-6.3700044564616007</v>
      </c>
    </row>
    <row r="60" spans="1:11" ht="32.25" customHeight="1">
      <c r="A60" s="56" t="s">
        <v>7</v>
      </c>
      <c r="B60" s="57" t="s">
        <v>32</v>
      </c>
      <c r="D60" s="20">
        <f t="shared" si="4"/>
        <v>-2.6954821445096115</v>
      </c>
      <c r="E60" s="20">
        <f t="shared" si="4"/>
        <v>-59.770709936054864</v>
      </c>
      <c r="F60" s="20">
        <f t="shared" si="4"/>
        <v>9.7537425956331276</v>
      </c>
      <c r="G60" s="20">
        <f t="shared" si="4"/>
        <v>37.860856998576338</v>
      </c>
      <c r="H60" s="19">
        <f t="shared" si="4"/>
        <v>0.76637613986270026</v>
      </c>
      <c r="I60" s="106">
        <f t="shared" si="4"/>
        <v>3.3934941239046452</v>
      </c>
    </row>
    <row r="61" spans="1:11" ht="32.25" customHeight="1">
      <c r="A61" s="56" t="s">
        <v>8</v>
      </c>
      <c r="B61" s="57" t="s">
        <v>56</v>
      </c>
      <c r="D61" s="20">
        <f t="shared" si="4"/>
        <v>0.62086249373641067</v>
      </c>
      <c r="E61" s="20">
        <f t="shared" si="4"/>
        <v>1.4001452424338652</v>
      </c>
      <c r="F61" s="20">
        <f t="shared" si="4"/>
        <v>6.2625528280634768</v>
      </c>
      <c r="G61" s="20">
        <f t="shared" si="4"/>
        <v>1.7411361442547104</v>
      </c>
      <c r="H61" s="19">
        <f t="shared" si="4"/>
        <v>7.0636116633014723</v>
      </c>
      <c r="I61" s="106">
        <f t="shared" si="4"/>
        <v>7.9580685766155597</v>
      </c>
    </row>
    <row r="62" spans="1:11" ht="32.25" customHeight="1">
      <c r="A62" s="56" t="s">
        <v>9</v>
      </c>
      <c r="B62" s="57" t="s">
        <v>57</v>
      </c>
      <c r="D62" s="20">
        <f t="shared" si="4"/>
        <v>2.3159460447977267</v>
      </c>
      <c r="E62" s="20">
        <f t="shared" si="4"/>
        <v>-3.7337490435637903</v>
      </c>
      <c r="F62" s="20">
        <f t="shared" si="4"/>
        <v>10.107955496463305</v>
      </c>
      <c r="G62" s="20">
        <f t="shared" si="4"/>
        <v>7.6841694999268952</v>
      </c>
      <c r="H62" s="19">
        <f t="shared" si="4"/>
        <v>46.396066180718918</v>
      </c>
      <c r="I62" s="106">
        <f t="shared" si="4"/>
        <v>12.962068175116244</v>
      </c>
    </row>
    <row r="63" spans="1:11" ht="32.25" customHeight="1">
      <c r="A63" s="56" t="s">
        <v>70</v>
      </c>
      <c r="B63" s="57" t="s">
        <v>74</v>
      </c>
      <c r="D63" s="20">
        <f t="shared" si="4"/>
        <v>26.073564449064875</v>
      </c>
      <c r="E63" s="20">
        <f t="shared" si="4"/>
        <v>-16.452568828841578</v>
      </c>
      <c r="F63" s="20">
        <f t="shared" si="4"/>
        <v>14.947618489164043</v>
      </c>
      <c r="G63" s="20">
        <f t="shared" si="4"/>
        <v>2.4413817894851917</v>
      </c>
      <c r="H63" s="19">
        <f t="shared" si="4"/>
        <v>1.7751047123172583</v>
      </c>
      <c r="I63" s="106">
        <f t="shared" si="4"/>
        <v>-1.0251599789849735</v>
      </c>
    </row>
    <row r="64" spans="1:11" ht="32.25" customHeight="1">
      <c r="A64" s="56" t="s">
        <v>10</v>
      </c>
      <c r="B64" s="57" t="s">
        <v>58</v>
      </c>
      <c r="D64" s="20">
        <f t="shared" si="4"/>
        <v>0.53903397575759016</v>
      </c>
      <c r="E64" s="20">
        <f t="shared" si="4"/>
        <v>-8.9654392499345903</v>
      </c>
      <c r="F64" s="20">
        <f t="shared" si="4"/>
        <v>-5.7760435507842089</v>
      </c>
      <c r="G64" s="20">
        <f t="shared" si="4"/>
        <v>24.205546056103969</v>
      </c>
      <c r="H64" s="19">
        <f t="shared" si="4"/>
        <v>13.539136817317996</v>
      </c>
      <c r="I64" s="106">
        <f t="shared" si="4"/>
        <v>-1.9352033049738964</v>
      </c>
    </row>
    <row r="65" spans="1:9" ht="32.25" customHeight="1">
      <c r="A65" s="56" t="s">
        <v>59</v>
      </c>
      <c r="B65" s="57" t="s">
        <v>60</v>
      </c>
      <c r="D65" s="20">
        <f t="shared" si="4"/>
        <v>19.234274318742536</v>
      </c>
      <c r="E65" s="20">
        <f t="shared" si="4"/>
        <v>19.542070066091483</v>
      </c>
      <c r="F65" s="20">
        <f t="shared" si="4"/>
        <v>48.983869643541141</v>
      </c>
      <c r="G65" s="20">
        <f t="shared" si="4"/>
        <v>12.356551688312351</v>
      </c>
      <c r="H65" s="19">
        <f t="shared" si="4"/>
        <v>-0.83458378006903899</v>
      </c>
      <c r="I65" s="106">
        <f t="shared" si="4"/>
        <v>21.290275085065716</v>
      </c>
    </row>
    <row r="66" spans="1:9" ht="32.25" customHeight="1">
      <c r="A66" s="56" t="s">
        <v>66</v>
      </c>
      <c r="B66" s="57" t="s">
        <v>67</v>
      </c>
      <c r="D66" s="20">
        <f t="shared" si="4"/>
        <v>-8.6434929717363502</v>
      </c>
      <c r="E66" s="20">
        <f t="shared" si="4"/>
        <v>-68.509073109701148</v>
      </c>
      <c r="F66" s="20">
        <f t="shared" si="4"/>
        <v>-28.436750137175764</v>
      </c>
      <c r="G66" s="20">
        <f t="shared" si="4"/>
        <v>18.857559716838736</v>
      </c>
      <c r="H66" s="19">
        <f t="shared" si="4"/>
        <v>-13.801273953315402</v>
      </c>
      <c r="I66" s="106">
        <f t="shared" si="4"/>
        <v>20.970965426286938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4"/>
        <v>51.235371538505916</v>
      </c>
      <c r="E67" s="23">
        <f t="shared" si="4"/>
        <v>-19.646724417975094</v>
      </c>
      <c r="F67" s="24">
        <f t="shared" si="4"/>
        <v>-16.307745600394867</v>
      </c>
      <c r="G67" s="24">
        <f t="shared" si="4"/>
        <v>25.311893508157496</v>
      </c>
      <c r="H67" s="132">
        <f t="shared" si="4"/>
        <v>1.4907203203745638</v>
      </c>
      <c r="I67" s="131">
        <f t="shared" si="4"/>
        <v>-0.83757040817501149</v>
      </c>
    </row>
    <row r="68" spans="1:9" ht="32.25" customHeight="1">
      <c r="A68" s="25"/>
      <c r="B68" s="78" t="s">
        <v>51</v>
      </c>
      <c r="C68" s="82"/>
      <c r="D68" s="24">
        <f t="shared" si="4"/>
        <v>7.1453390117820277</v>
      </c>
      <c r="E68" s="24">
        <f t="shared" si="4"/>
        <v>10.09955291203471</v>
      </c>
      <c r="F68" s="24">
        <f t="shared" si="4"/>
        <v>5.1861809363467017</v>
      </c>
      <c r="G68" s="24">
        <f t="shared" si="4"/>
        <v>9.9453669790180896</v>
      </c>
      <c r="H68" s="24">
        <f t="shared" si="4"/>
        <v>4.9765151897330071</v>
      </c>
      <c r="I68" s="117">
        <f t="shared" si="4"/>
        <v>3.9043069694875641</v>
      </c>
    </row>
    <row r="69" spans="1:9" ht="32.25" customHeight="1">
      <c r="A69" s="34"/>
      <c r="B69" s="79" t="s">
        <v>33</v>
      </c>
      <c r="C69" s="82"/>
      <c r="D69" s="33">
        <f t="shared" si="4"/>
        <v>15.2118985227889</v>
      </c>
      <c r="E69" s="33">
        <f t="shared" si="4"/>
        <v>-13.040049881732102</v>
      </c>
      <c r="F69" s="33">
        <f t="shared" si="4"/>
        <v>12.296737381179994</v>
      </c>
      <c r="G69" s="88">
        <f t="shared" si="4"/>
        <v>10.567957639911214</v>
      </c>
      <c r="H69" s="88">
        <f t="shared" si="4"/>
        <v>14.799150034319638</v>
      </c>
      <c r="I69" s="129">
        <f t="shared" si="4"/>
        <v>24.022725258160179</v>
      </c>
    </row>
    <row r="70" spans="1:9" ht="32.25" customHeight="1">
      <c r="A70" s="21" t="s">
        <v>25</v>
      </c>
      <c r="B70" s="80" t="s">
        <v>34</v>
      </c>
      <c r="C70" s="82"/>
      <c r="D70" s="24">
        <f t="shared" ref="D70:I71" si="5">IFERROR(D24/C24*100-100,"")</f>
        <v>2.097158720775667</v>
      </c>
      <c r="E70" s="24">
        <f t="shared" si="5"/>
        <v>-33.915748379136872</v>
      </c>
      <c r="F70" s="24">
        <f t="shared" si="5"/>
        <v>20.125879425869854</v>
      </c>
      <c r="G70" s="24">
        <f t="shared" si="5"/>
        <v>17.988199393748047</v>
      </c>
      <c r="H70" s="24">
        <f t="shared" si="5"/>
        <v>8.1836443145321169</v>
      </c>
      <c r="I70" s="117">
        <f t="shared" si="5"/>
        <v>9.8725460876228226</v>
      </c>
    </row>
    <row r="71" spans="1:9" ht="32.25" customHeight="1">
      <c r="A71" s="30"/>
      <c r="B71" s="81" t="s">
        <v>35</v>
      </c>
      <c r="C71" s="82"/>
      <c r="D71" s="31">
        <f t="shared" si="5"/>
        <v>14.554902364626713</v>
      </c>
      <c r="E71" s="31">
        <f t="shared" si="5"/>
        <v>-13.929679082900549</v>
      </c>
      <c r="F71" s="31">
        <f t="shared" si="5"/>
        <v>12.55228392956495</v>
      </c>
      <c r="G71" s="31">
        <f t="shared" si="5"/>
        <v>10.82980939023463</v>
      </c>
      <c r="H71" s="31">
        <f t="shared" si="5"/>
        <v>14.542818089293092</v>
      </c>
      <c r="I71" s="129">
        <f t="shared" si="5"/>
        <v>23.548495196099068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>
      <c r="A86" s="18"/>
      <c r="B86" s="101"/>
      <c r="C86" s="10"/>
      <c r="D86" s="101"/>
      <c r="E86" s="101"/>
    </row>
    <row r="87" spans="1:8">
      <c r="A87" s="18"/>
      <c r="B87" s="101"/>
      <c r="C87" s="101"/>
      <c r="D87" s="101"/>
      <c r="E87" s="101"/>
    </row>
    <row r="88" spans="1:8">
      <c r="A88" s="61"/>
      <c r="B88" s="101"/>
      <c r="C88" s="101"/>
      <c r="D88" s="101"/>
      <c r="E88" s="101"/>
    </row>
    <row r="89" spans="1:8">
      <c r="A89" s="64"/>
      <c r="B89" s="45"/>
      <c r="C89" s="45"/>
      <c r="D89" s="101"/>
      <c r="E89" s="101"/>
    </row>
    <row r="90" spans="1:8">
      <c r="A90" s="64"/>
      <c r="B90" s="45"/>
      <c r="C90" s="45"/>
      <c r="D90" s="101"/>
      <c r="E90" s="101"/>
    </row>
    <row r="91" spans="1:8">
      <c r="A91" s="64"/>
      <c r="B91" s="45"/>
      <c r="C91" s="45"/>
      <c r="D91" s="101"/>
      <c r="E91" s="101"/>
    </row>
    <row r="92" spans="1:8">
      <c r="A92" s="64"/>
      <c r="B92" s="45"/>
      <c r="C92" s="45"/>
      <c r="D92" s="101"/>
      <c r="E92" s="101"/>
    </row>
    <row r="93" spans="1:8">
      <c r="A93" s="64"/>
      <c r="B93" s="45"/>
      <c r="C93" s="45"/>
      <c r="D93" s="101"/>
      <c r="E93" s="101"/>
    </row>
    <row r="94" spans="1:8">
      <c r="A94" s="91"/>
      <c r="B94" s="101"/>
      <c r="C94" s="59"/>
      <c r="D94" s="101"/>
      <c r="E94" s="101"/>
    </row>
    <row r="95" spans="1:8">
      <c r="A95" s="7"/>
      <c r="B95" s="101"/>
      <c r="C95" s="18"/>
      <c r="D95" s="101"/>
      <c r="E95" s="101"/>
    </row>
    <row r="96" spans="1:8">
      <c r="B96" s="101"/>
      <c r="C96" s="18"/>
      <c r="D96" s="101"/>
      <c r="E96" s="101"/>
    </row>
    <row r="97" spans="1:5">
      <c r="B97" s="101"/>
      <c r="C97" s="18"/>
      <c r="D97" s="101"/>
      <c r="E97" s="101"/>
    </row>
    <row r="98" spans="1:5">
      <c r="B98" s="101"/>
      <c r="C98" s="18"/>
      <c r="D98" s="101"/>
      <c r="E98" s="101"/>
    </row>
    <row r="99" spans="1:5">
      <c r="A99" s="61"/>
      <c r="B99" s="101"/>
      <c r="C99" s="101"/>
      <c r="D99" s="101"/>
      <c r="E99" s="101"/>
    </row>
    <row r="100" spans="1:5">
      <c r="A100" s="61"/>
      <c r="B100" s="101"/>
      <c r="C100" s="101"/>
      <c r="D100" s="101"/>
      <c r="E100" s="101"/>
    </row>
  </sheetData>
  <mergeCells count="9">
    <mergeCell ref="A73:E73"/>
    <mergeCell ref="A28:A29"/>
    <mergeCell ref="A51:A52"/>
    <mergeCell ref="A5:A6"/>
    <mergeCell ref="B5:B6"/>
    <mergeCell ref="C5:I5"/>
    <mergeCell ref="B28:B29"/>
    <mergeCell ref="C28:I28"/>
    <mergeCell ref="B51:C52"/>
  </mergeCells>
  <hyperlinks>
    <hyperlink ref="K2" location="Índice!A1" display="Índice"/>
    <hyperlink ref="K3" location="'Cuadro 10-Panamá Oeste'!A27" display="Composición "/>
    <hyperlink ref="K4" location="'Cuadro 10-Panamá Oeste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5" max="8" man="1"/>
    <brk id="48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P2"/>
  <sheetViews>
    <sheetView zoomScaleNormal="100" zoomScaleSheetLayoutView="7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57" orientation="portrait" r:id="rId1"/>
  <colBreaks count="1" manualBreakCount="1">
    <brk id="14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86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173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174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101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89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Toro'!C$6,DATOS!$B:$B,"B100101_09",DATOS!$G:$G,"0311",DATOS!$C:$C,"00")</f>
        <v>164.58835334047754</v>
      </c>
      <c r="D7" s="194">
        <f>SUMIFS(DATOS!$F:$F,DATOS!$D:$D,$A7,DATOS!$A:$A,'Cuadro 2-Bocas del Toro'!D$6,DATOS!$B:$B,"B100101_09",DATOS!$G:$G,"0311",DATOS!$C:$C,"00")</f>
        <v>147.20211170627445</v>
      </c>
      <c r="E7" s="194">
        <f>SUMIFS(DATOS!$F:$F,DATOS!$D:$D,$A7,DATOS!$A:$A,'Cuadro 2-Bocas del Toro'!E$6,DATOS!$B:$B,"B100101_09",DATOS!$G:$G,"0311",DATOS!$C:$C,"00")</f>
        <v>143.13928305923307</v>
      </c>
      <c r="F7" s="194">
        <f>SUMIFS(DATOS!$F:$F,DATOS!$D:$D,$A7,DATOS!$A:$A,'Cuadro 2-Bocas del Toro'!F$6,DATOS!$B:$B,"B100101_09",DATOS!$G:$G,"0311",DATOS!$C:$C,"00")</f>
        <v>169.73097554779051</v>
      </c>
      <c r="G7" s="194">
        <f>SUMIFS(DATOS!$F:$F,DATOS!$D:$D,$A7,DATOS!$A:$A,'Cuadro 2-Bocas del Toro'!G$6,DATOS!$B:$B,"B100101_09",DATOS!$G:$G,"0311",DATOS!$C:$C,"00")</f>
        <v>170.68713450278949</v>
      </c>
      <c r="H7" s="194">
        <f>SUMIFS(DATOS!$F:$F,DATOS!$D:$D,$A7,DATOS!$A:$A,'Cuadro 2-Bocas del Toro'!H$6,DATOS!$B:$B,"B100101_09",DATOS!$G:$G,"0311",DATOS!$C:$C,"00")</f>
        <v>174.52961252536392</v>
      </c>
      <c r="I7" s="195">
        <f>SUMIFS(DATOS!$F:$F,DATOS!$D:$D,$A7,DATOS!$A:$A,'Cuadro 2-Bocas del Toro'!I$6,DATOS!$B:$B,"B100101_09",DATOS!$G:$G,"0311",DATOS!$C:$C,"00")</f>
        <v>171.23070976260718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Toro'!C$6,DATOS!$B:$B,"B100101_09",DATOS!$G:$G,"0311",DATOS!$C:$C,"00")</f>
        <v>26.005119466104524</v>
      </c>
      <c r="D8" s="194">
        <f>SUMIFS(DATOS!$F:$F,DATOS!$D:$D,$A8,DATOS!$A:$A,'Cuadro 2-Bocas del Toro'!D$6,DATOS!$B:$B,"B100101_09",DATOS!$G:$G,"0311",DATOS!$C:$C,"00")</f>
        <v>21.274882050660391</v>
      </c>
      <c r="E8" s="194">
        <f>SUMIFS(DATOS!$F:$F,DATOS!$D:$D,$A8,DATOS!$A:$A,'Cuadro 2-Bocas del Toro'!E$6,DATOS!$B:$B,"B100101_09",DATOS!$G:$G,"0311",DATOS!$C:$C,"00")</f>
        <v>12.914747738988728</v>
      </c>
      <c r="F8" s="194">
        <f>SUMIFS(DATOS!$F:$F,DATOS!$D:$D,$A8,DATOS!$A:$A,'Cuadro 2-Bocas del Toro'!F$6,DATOS!$B:$B,"B100101_09",DATOS!$G:$G,"0311",DATOS!$C:$C,"00")</f>
        <v>20.233379653892602</v>
      </c>
      <c r="G8" s="194">
        <f>SUMIFS(DATOS!$F:$F,DATOS!$D:$D,$A8,DATOS!$A:$A,'Cuadro 2-Bocas del Toro'!G$6,DATOS!$B:$B,"B100101_09",DATOS!$G:$G,"0311",DATOS!$C:$C,"00")</f>
        <v>20.663003398908895</v>
      </c>
      <c r="H8" s="194">
        <f>SUMIFS(DATOS!$F:$F,DATOS!$D:$D,$A8,DATOS!$A:$A,'Cuadro 2-Bocas del Toro'!H$6,DATOS!$B:$B,"B100101_09",DATOS!$G:$G,"0311",DATOS!$C:$C,"00")</f>
        <v>21.350412227499515</v>
      </c>
      <c r="I8" s="195">
        <f>SUMIFS(DATOS!$F:$F,DATOS!$D:$D,$A8,DATOS!$A:$A,'Cuadro 2-Bocas del Toro'!I$6,DATOS!$B:$B,"B100101_09",DATOS!$G:$G,"0311",DATOS!$C:$C,"00")</f>
        <v>31.594344115064072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Toro'!C$6,DATOS!$B:$B,"B100101_09",DATOS!$G:$G,"0311",DATOS!$C:$C,"00")</f>
        <v>188.99079270272969</v>
      </c>
      <c r="D9" s="194">
        <f>SUMIFS(DATOS!$F:$F,DATOS!$D:$D,$A9,DATOS!$A:$A,'Cuadro 2-Bocas del Toro'!D$6,DATOS!$B:$B,"B100101_09",DATOS!$G:$G,"0311",DATOS!$C:$C,"00")</f>
        <v>172.89333911792178</v>
      </c>
      <c r="E9" s="194">
        <f>SUMIFS(DATOS!$F:$F,DATOS!$D:$D,$A9,DATOS!$A:$A,'Cuadro 2-Bocas del Toro'!E$6,DATOS!$B:$B,"B100101_09",DATOS!$G:$G,"0311",DATOS!$C:$C,"00")</f>
        <v>162.26676965968082</v>
      </c>
      <c r="F9" s="194">
        <f>SUMIFS(DATOS!$F:$F,DATOS!$D:$D,$A9,DATOS!$A:$A,'Cuadro 2-Bocas del Toro'!F$6,DATOS!$B:$B,"B100101_09",DATOS!$G:$G,"0311",DATOS!$C:$C,"00")</f>
        <v>174.35579844361069</v>
      </c>
      <c r="G9" s="194">
        <f>SUMIFS(DATOS!$F:$F,DATOS!$D:$D,$A9,DATOS!$A:$A,'Cuadro 2-Bocas del Toro'!G$6,DATOS!$B:$B,"B100101_09",DATOS!$G:$G,"0311",DATOS!$C:$C,"00")</f>
        <v>200.77833752839319</v>
      </c>
      <c r="H9" s="194">
        <f>SUMIFS(DATOS!$F:$F,DATOS!$D:$D,$A9,DATOS!$A:$A,'Cuadro 2-Bocas del Toro'!H$6,DATOS!$B:$B,"B100101_09",DATOS!$G:$G,"0311",DATOS!$C:$C,"00")</f>
        <v>208.59013059936311</v>
      </c>
      <c r="I9" s="195">
        <f>SUMIFS(DATOS!$F:$F,DATOS!$D:$D,$A9,DATOS!$A:$A,'Cuadro 2-Bocas del Toro'!I$6,DATOS!$B:$B,"B100101_09",DATOS!$G:$G,"0311",DATOS!$C:$C,"00")</f>
        <v>223.37559885636074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Toro'!C$6,DATOS!$B:$B,"B100101_09",DATOS!$G:$G,"0311",DATOS!$C:$C,"00")</f>
        <v>21.765446890724665</v>
      </c>
      <c r="D10" s="194">
        <f>SUMIFS(DATOS!$F:$F,DATOS!$D:$D,$A10,DATOS!$A:$A,'Cuadro 2-Bocas del Toro'!D$6,DATOS!$B:$B,"B100101_09",DATOS!$G:$G,"0311",DATOS!$C:$C,"00")</f>
        <v>21.745949248494796</v>
      </c>
      <c r="E10" s="194">
        <f>SUMIFS(DATOS!$F:$F,DATOS!$D:$D,$A10,DATOS!$A:$A,'Cuadro 2-Bocas del Toro'!E$6,DATOS!$B:$B,"B100101_09",DATOS!$G:$G,"0311",DATOS!$C:$C,"00")</f>
        <v>24.085221994510931</v>
      </c>
      <c r="F10" s="194">
        <f>SUMIFS(DATOS!$F:$F,DATOS!$D:$D,$A10,DATOS!$A:$A,'Cuadro 2-Bocas del Toro'!F$6,DATOS!$B:$B,"B100101_09",DATOS!$G:$G,"0311",DATOS!$C:$C,"00")</f>
        <v>25.928691922151373</v>
      </c>
      <c r="G10" s="194">
        <f>SUMIFS(DATOS!$F:$F,DATOS!$D:$D,$A10,DATOS!$A:$A,'Cuadro 2-Bocas del Toro'!G$6,DATOS!$B:$B,"B100101_09",DATOS!$G:$G,"0311",DATOS!$C:$C,"00")</f>
        <v>28.626270650000528</v>
      </c>
      <c r="H10" s="194">
        <f>SUMIFS(DATOS!$F:$F,DATOS!$D:$D,$A10,DATOS!$A:$A,'Cuadro 2-Bocas del Toro'!H$6,DATOS!$B:$B,"B100101_09",DATOS!$G:$G,"0311",DATOS!$C:$C,"00")</f>
        <v>28.5464852229657</v>
      </c>
      <c r="I10" s="195">
        <f>SUMIFS(DATOS!$F:$F,DATOS!$D:$D,$A10,DATOS!$A:$A,'Cuadro 2-Bocas del Toro'!I$6,DATOS!$B:$B,"B100101_09",DATOS!$G:$G,"0311",DATOS!$C:$C,"00")</f>
        <v>30.231446897007867</v>
      </c>
    </row>
    <row r="11" spans="1:12" ht="32.25" customHeight="1">
      <c r="A11" s="56" t="s">
        <v>4</v>
      </c>
      <c r="B11" s="60" t="s">
        <v>94</v>
      </c>
      <c r="C11" s="194">
        <f>SUMIFS(DATOS!$F:$F,DATOS!$D:$D,$A11,DATOS!$A:$A,'Cuadro 2-Bocas del Toro'!C$6,DATOS!$B:$B,"B100101_09",DATOS!$G:$G,"0311",DATOS!$C:$C,"00")</f>
        <v>358.58289200373969</v>
      </c>
      <c r="D11" s="194">
        <f>SUMIFS(DATOS!$F:$F,DATOS!$D:$D,$A11,DATOS!$A:$A,'Cuadro 2-Bocas del Toro'!D$6,DATOS!$B:$B,"B100101_09",DATOS!$G:$G,"0311",DATOS!$C:$C,"00")</f>
        <v>269.50356189472996</v>
      </c>
      <c r="E11" s="194">
        <f>SUMIFS(DATOS!$F:$F,DATOS!$D:$D,$A11,DATOS!$A:$A,'Cuadro 2-Bocas del Toro'!E$6,DATOS!$B:$B,"B100101_09",DATOS!$G:$G,"0311",DATOS!$C:$C,"00")</f>
        <v>165.60856747200248</v>
      </c>
      <c r="F11" s="194">
        <f>SUMIFS(DATOS!$F:$F,DATOS!$D:$D,$A11,DATOS!$A:$A,'Cuadro 2-Bocas del Toro'!F$6,DATOS!$B:$B,"B100101_09",DATOS!$G:$G,"0311",DATOS!$C:$C,"00")</f>
        <v>244.57023047448223</v>
      </c>
      <c r="G11" s="194">
        <f>SUMIFS(DATOS!$F:$F,DATOS!$D:$D,$A11,DATOS!$A:$A,'Cuadro 2-Bocas del Toro'!G$6,DATOS!$B:$B,"B100101_09",DATOS!$G:$G,"0311",DATOS!$C:$C,"00")</f>
        <v>235.0619731321502</v>
      </c>
      <c r="H11" s="194">
        <f>SUMIFS(DATOS!$F:$F,DATOS!$D:$D,$A11,DATOS!$A:$A,'Cuadro 2-Bocas del Toro'!H$6,DATOS!$B:$B,"B100101_09",DATOS!$G:$G,"0311",DATOS!$C:$C,"00")</f>
        <v>243.65760446048731</v>
      </c>
      <c r="I11" s="195">
        <f>SUMIFS(DATOS!$F:$F,DATOS!$D:$D,$A11,DATOS!$A:$A,'Cuadro 2-Bocas del Toro'!I$6,DATOS!$B:$B,"B100101_09",DATOS!$G:$G,"0311",DATOS!$C:$C,"00")</f>
        <v>249.42644835189228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Toro'!C$6,DATOS!$B:$B,"B100101_09",DATOS!$G:$G,"0311",DATOS!$C:$C,"00")</f>
        <v>168.88699270417487</v>
      </c>
      <c r="D12" s="194">
        <f>SUMIFS(DATOS!$F:$F,DATOS!$D:$D,$A12,DATOS!$A:$A,'Cuadro 2-Bocas del Toro'!D$6,DATOS!$B:$B,"B100101_09",DATOS!$G:$G,"0311",DATOS!$C:$C,"00")</f>
        <v>169.29246451502971</v>
      </c>
      <c r="E12" s="194">
        <f>SUMIFS(DATOS!$F:$F,DATOS!$D:$D,$A12,DATOS!$A:$A,'Cuadro 2-Bocas del Toro'!E$6,DATOS!$B:$B,"B100101_09",DATOS!$G:$G,"0311",DATOS!$C:$C,"00")</f>
        <v>153.31714410216139</v>
      </c>
      <c r="F12" s="194">
        <f>SUMIFS(DATOS!$F:$F,DATOS!$D:$D,$A12,DATOS!$A:$A,'Cuadro 2-Bocas del Toro'!F$6,DATOS!$B:$B,"B100101_09",DATOS!$G:$G,"0311",DATOS!$C:$C,"00")</f>
        <v>231.50002856257379</v>
      </c>
      <c r="G12" s="194">
        <f>SUMIFS(DATOS!$F:$F,DATOS!$D:$D,$A12,DATOS!$A:$A,'Cuadro 2-Bocas del Toro'!G$6,DATOS!$B:$B,"B100101_09",DATOS!$G:$G,"0311",DATOS!$C:$C,"00")</f>
        <v>285.36093693402944</v>
      </c>
      <c r="H12" s="194">
        <f>SUMIFS(DATOS!$F:$F,DATOS!$D:$D,$A12,DATOS!$A:$A,'Cuadro 2-Bocas del Toro'!H$6,DATOS!$B:$B,"B100101_09",DATOS!$G:$G,"0311",DATOS!$C:$C,"00")</f>
        <v>306.00211093690882</v>
      </c>
      <c r="I12" s="195">
        <f>SUMIFS(DATOS!$F:$F,DATOS!$D:$D,$A12,DATOS!$A:$A,'Cuadro 2-Bocas del Toro'!I$6,DATOS!$B:$B,"B100101_09",DATOS!$G:$G,"0311",DATOS!$C:$C,"00")</f>
        <v>309.74095196422832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Toro'!C$6,DATOS!$B:$B,"B100101_09",DATOS!$G:$G,"0311",DATOS!$C:$C,"00")</f>
        <v>71.648488360782238</v>
      </c>
      <c r="D13" s="194">
        <f>SUMIFS(DATOS!$F:$F,DATOS!$D:$D,$A13,DATOS!$A:$A,'Cuadro 2-Bocas del Toro'!D$6,DATOS!$B:$B,"B100101_09",DATOS!$G:$G,"0311",DATOS!$C:$C,"00")</f>
        <v>90.915207788382617</v>
      </c>
      <c r="E13" s="194">
        <f>SUMIFS(DATOS!$F:$F,DATOS!$D:$D,$A13,DATOS!$A:$A,'Cuadro 2-Bocas del Toro'!E$6,DATOS!$B:$B,"B100101_09",DATOS!$G:$G,"0311",DATOS!$C:$C,"00")</f>
        <v>66.240391766983095</v>
      </c>
      <c r="F13" s="194">
        <f>SUMIFS(DATOS!$F:$F,DATOS!$D:$D,$A13,DATOS!$A:$A,'Cuadro 2-Bocas del Toro'!F$6,DATOS!$B:$B,"B100101_09",DATOS!$G:$G,"0311",DATOS!$C:$C,"00")</f>
        <v>83.154280520172122</v>
      </c>
      <c r="G13" s="194">
        <f>SUMIFS(DATOS!$F:$F,DATOS!$D:$D,$A13,DATOS!$A:$A,'Cuadro 2-Bocas del Toro'!G$6,DATOS!$B:$B,"B100101_09",DATOS!$G:$G,"0311",DATOS!$C:$C,"00")</f>
        <v>96.300601137858408</v>
      </c>
      <c r="H13" s="194">
        <f>SUMIFS(DATOS!$F:$F,DATOS!$D:$D,$A13,DATOS!$A:$A,'Cuadro 2-Bocas del Toro'!H$6,DATOS!$B:$B,"B100101_09",DATOS!$G:$G,"0311",DATOS!$C:$C,"00")</f>
        <v>93.181811016563756</v>
      </c>
      <c r="I13" s="195">
        <f>SUMIFS(DATOS!$F:$F,DATOS!$D:$D,$A13,DATOS!$A:$A,'Cuadro 2-Bocas del Toro'!I$6,DATOS!$B:$B,"B100101_09",DATOS!$G:$G,"0311",DATOS!$C:$C,"00")</f>
        <v>101.93762984040517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Toro'!C$6,DATOS!$B:$B,"B100101_09",DATOS!$G:$G,"0311",DATOS!$C:$C,"00")</f>
        <v>64.576569016847557</v>
      </c>
      <c r="D14" s="194">
        <f>SUMIFS(DATOS!$F:$F,DATOS!$D:$D,$A14,DATOS!$A:$A,'Cuadro 2-Bocas del Toro'!D$6,DATOS!$B:$B,"B100101_09",DATOS!$G:$G,"0311",DATOS!$C:$C,"00")</f>
        <v>59.148321150100017</v>
      </c>
      <c r="E14" s="194">
        <f>SUMIFS(DATOS!$F:$F,DATOS!$D:$D,$A14,DATOS!$A:$A,'Cuadro 2-Bocas del Toro'!E$6,DATOS!$B:$B,"B100101_09",DATOS!$G:$G,"0311",DATOS!$C:$C,"00")</f>
        <v>27.959110301223923</v>
      </c>
      <c r="F14" s="194">
        <f>SUMIFS(DATOS!$F:$F,DATOS!$D:$D,$A14,DATOS!$A:$A,'Cuadro 2-Bocas del Toro'!F$6,DATOS!$B:$B,"B100101_09",DATOS!$G:$G,"0311",DATOS!$C:$C,"00")</f>
        <v>32.576693983158613</v>
      </c>
      <c r="G14" s="194">
        <f>SUMIFS(DATOS!$F:$F,DATOS!$D:$D,$A14,DATOS!$A:$A,'Cuadro 2-Bocas del Toro'!G$6,DATOS!$B:$B,"B100101_09",DATOS!$G:$G,"0311",DATOS!$C:$C,"00")</f>
        <v>37.523359842213573</v>
      </c>
      <c r="H14" s="194">
        <f>SUMIFS(DATOS!$F:$F,DATOS!$D:$D,$A14,DATOS!$A:$A,'Cuadro 2-Bocas del Toro'!H$6,DATOS!$B:$B,"B100101_09",DATOS!$G:$G,"0311",DATOS!$C:$C,"00")</f>
        <v>40.510199472227804</v>
      </c>
      <c r="I14" s="195">
        <f>SUMIFS(DATOS!$F:$F,DATOS!$D:$D,$A14,DATOS!$A:$A,'Cuadro 2-Bocas del Toro'!I$6,DATOS!$B:$B,"B100101_09",DATOS!$G:$G,"0311",DATOS!$C:$C,"00")</f>
        <v>50.431614954444242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Toro'!C$6,DATOS!$B:$B,"B100101_09",DATOS!$G:$G,"0311",DATOS!$C:$C,"00")</f>
        <v>94.532468275001065</v>
      </c>
      <c r="D15" s="194">
        <f>SUMIFS(DATOS!$F:$F,DATOS!$D:$D,$A15,DATOS!$A:$A,'Cuadro 2-Bocas del Toro'!D$6,DATOS!$B:$B,"B100101_09",DATOS!$G:$G,"0311",DATOS!$C:$C,"00")</f>
        <v>93.650230849845514</v>
      </c>
      <c r="E15" s="194">
        <f>SUMIFS(DATOS!$F:$F,DATOS!$D:$D,$A15,DATOS!$A:$A,'Cuadro 2-Bocas del Toro'!E$6,DATOS!$B:$B,"B100101_09",DATOS!$G:$G,"0311",DATOS!$C:$C,"00")</f>
        <v>93.975284129148477</v>
      </c>
      <c r="F15" s="194">
        <f>SUMIFS(DATOS!$F:$F,DATOS!$D:$D,$A15,DATOS!$A:$A,'Cuadro 2-Bocas del Toro'!F$6,DATOS!$B:$B,"B100101_09",DATOS!$G:$G,"0311",DATOS!$C:$C,"00")</f>
        <v>98.534929338455854</v>
      </c>
      <c r="G15" s="194">
        <f>SUMIFS(DATOS!$F:$F,DATOS!$D:$D,$A15,DATOS!$A:$A,'Cuadro 2-Bocas del Toro'!G$6,DATOS!$B:$B,"B100101_09",DATOS!$G:$G,"0311",DATOS!$C:$C,"00")</f>
        <v>96.449447467731346</v>
      </c>
      <c r="H15" s="194">
        <f>SUMIFS(DATOS!$F:$F,DATOS!$D:$D,$A15,DATOS!$A:$A,'Cuadro 2-Bocas del Toro'!H$6,DATOS!$B:$B,"B100101_09",DATOS!$G:$G,"0311",DATOS!$C:$C,"00")</f>
        <v>102.45852682799752</v>
      </c>
      <c r="I15" s="195">
        <f>SUMIFS(DATOS!$F:$F,DATOS!$D:$D,$A15,DATOS!$A:$A,'Cuadro 2-Bocas del Toro'!I$6,DATOS!$B:$B,"B100101_09",DATOS!$G:$G,"0311",DATOS!$C:$C,"00")</f>
        <v>108.68497430251244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Toro'!C$6,DATOS!$B:$B,"B100101_09",DATOS!$G:$G,"0311",DATOS!$C:$C,"00")</f>
        <v>71.105947311626224</v>
      </c>
      <c r="D16" s="194">
        <f>SUMIFS(DATOS!$F:$F,DATOS!$D:$D,$A16,DATOS!$A:$A,'Cuadro 2-Bocas del Toro'!D$6,DATOS!$B:$B,"B100101_09",DATOS!$G:$G,"0311",DATOS!$C:$C,"00")</f>
        <v>75.935783335094314</v>
      </c>
      <c r="E16" s="194">
        <f>SUMIFS(DATOS!$F:$F,DATOS!$D:$D,$A16,DATOS!$A:$A,'Cuadro 2-Bocas del Toro'!E$6,DATOS!$B:$B,"B100101_09",DATOS!$G:$G,"0311",DATOS!$C:$C,"00")</f>
        <v>73.659543130254718</v>
      </c>
      <c r="F16" s="194">
        <f>SUMIFS(DATOS!$F:$F,DATOS!$D:$D,$A16,DATOS!$A:$A,'Cuadro 2-Bocas del Toro'!F$6,DATOS!$B:$B,"B100101_09",DATOS!$G:$G,"0311",DATOS!$C:$C,"00")</f>
        <v>78.552091937218265</v>
      </c>
      <c r="G16" s="194">
        <f>SUMIFS(DATOS!$F:$F,DATOS!$D:$D,$A16,DATOS!$A:$A,'Cuadro 2-Bocas del Toro'!G$6,DATOS!$B:$B,"B100101_09",DATOS!$G:$G,"0311",DATOS!$C:$C,"00")</f>
        <v>101.08577931297114</v>
      </c>
      <c r="H16" s="194">
        <f>SUMIFS(DATOS!$F:$F,DATOS!$D:$D,$A16,DATOS!$A:$A,'Cuadro 2-Bocas del Toro'!H$6,DATOS!$B:$B,"B100101_09",DATOS!$G:$G,"0311",DATOS!$C:$C,"00")</f>
        <v>73.616944747775221</v>
      </c>
      <c r="I16" s="195">
        <f>SUMIFS(DATOS!$F:$F,DATOS!$D:$D,$A16,DATOS!$A:$A,'Cuadro 2-Bocas del Toro'!I$6,DATOS!$B:$B,"B100101_09",DATOS!$G:$G,"0311",DATOS!$C:$C,"00")</f>
        <v>78.173421952040684</v>
      </c>
    </row>
    <row r="17" spans="1:16" ht="32.25" customHeight="1">
      <c r="A17" s="56" t="s">
        <v>70</v>
      </c>
      <c r="B17" s="60" t="s">
        <v>95</v>
      </c>
      <c r="C17" s="194">
        <f>SUMIFS(DATOS!$F:$F,DATOS!$D:$D,$A17,DATOS!$A:$A,'Cuadro 2-Bocas del Toro'!C$6,DATOS!$B:$B,"B100101_09",DATOS!$G:$G,"0311",DATOS!$C:$C,"00")</f>
        <v>114.33029717247686</v>
      </c>
      <c r="D17" s="194">
        <f>SUMIFS(DATOS!$F:$F,DATOS!$D:$D,$A17,DATOS!$A:$A,'Cuadro 2-Bocas del Toro'!D$6,DATOS!$B:$B,"B100101_09",DATOS!$G:$G,"0311",DATOS!$C:$C,"00")</f>
        <v>140.13225144004716</v>
      </c>
      <c r="E17" s="194">
        <f>SUMIFS(DATOS!$F:$F,DATOS!$D:$D,$A17,DATOS!$A:$A,'Cuadro 2-Bocas del Toro'!E$6,DATOS!$B:$B,"B100101_09",DATOS!$G:$G,"0311",DATOS!$C:$C,"00")</f>
        <v>124.9308575751248</v>
      </c>
      <c r="F17" s="194">
        <f>SUMIFS(DATOS!$F:$F,DATOS!$D:$D,$A17,DATOS!$A:$A,'Cuadro 2-Bocas del Toro'!F$6,DATOS!$B:$B,"B100101_09",DATOS!$G:$G,"0311",DATOS!$C:$C,"00")</f>
        <v>76.588492197552029</v>
      </c>
      <c r="G17" s="194">
        <f>SUMIFS(DATOS!$F:$F,DATOS!$D:$D,$A17,DATOS!$A:$A,'Cuadro 2-Bocas del Toro'!G$6,DATOS!$B:$B,"B100101_09",DATOS!$G:$G,"0311",DATOS!$C:$C,"00")</f>
        <v>88.668375295227378</v>
      </c>
      <c r="H17" s="194">
        <f>SUMIFS(DATOS!$F:$F,DATOS!$D:$D,$A17,DATOS!$A:$A,'Cuadro 2-Bocas del Toro'!H$6,DATOS!$B:$B,"B100101_09",DATOS!$G:$G,"0311",DATOS!$C:$C,"00")</f>
        <v>147.23206065087055</v>
      </c>
      <c r="I17" s="195">
        <f>SUMIFS(DATOS!$F:$F,DATOS!$D:$D,$A17,DATOS!$A:$A,'Cuadro 2-Bocas del Toro'!I$6,DATOS!$B:$B,"B100101_09",DATOS!$G:$G,"0311",DATOS!$C:$C,"00")</f>
        <v>148.23553695703714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Toro'!C$6,DATOS!$B:$B,"B100101_09",DATOS!$G:$G,"0311",DATOS!$C:$C,"00")</f>
        <v>4.6885462477957409</v>
      </c>
      <c r="D18" s="194">
        <f>SUMIFS(DATOS!$F:$F,DATOS!$D:$D,$A18,DATOS!$A:$A,'Cuadro 2-Bocas del Toro'!D$6,DATOS!$B:$B,"B100101_09",DATOS!$G:$G,"0311",DATOS!$C:$C,"00")</f>
        <v>4.45123319268804</v>
      </c>
      <c r="E18" s="194">
        <f>SUMIFS(DATOS!$F:$F,DATOS!$D:$D,$A18,DATOS!$A:$A,'Cuadro 2-Bocas del Toro'!E$6,DATOS!$B:$B,"B100101_09",DATOS!$G:$G,"0311",DATOS!$C:$C,"00")</f>
        <v>3.0968273519019625</v>
      </c>
      <c r="F18" s="194">
        <f>SUMIFS(DATOS!$F:$F,DATOS!$D:$D,$A18,DATOS!$A:$A,'Cuadro 2-Bocas del Toro'!F$6,DATOS!$B:$B,"B100101_09",DATOS!$G:$G,"0311",DATOS!$C:$C,"00")</f>
        <v>3.2711199044316781</v>
      </c>
      <c r="G18" s="194">
        <f>SUMIFS(DATOS!$F:$F,DATOS!$D:$D,$A18,DATOS!$A:$A,'Cuadro 2-Bocas del Toro'!G$6,DATOS!$B:$B,"B100101_09",DATOS!$G:$G,"0311",DATOS!$C:$C,"00")</f>
        <v>3.6820723451617448</v>
      </c>
      <c r="H18" s="194">
        <f>SUMIFS(DATOS!$F:$F,DATOS!$D:$D,$A18,DATOS!$A:$A,'Cuadro 2-Bocas del Toro'!H$6,DATOS!$B:$B,"B100101_09",DATOS!$G:$G,"0311",DATOS!$C:$C,"00")</f>
        <v>3.8639796905097956</v>
      </c>
      <c r="I18" s="195">
        <f>SUMIFS(DATOS!$F:$F,DATOS!$D:$D,$A18,DATOS!$A:$A,'Cuadro 2-Bocas del Toro'!I$6,DATOS!$B:$B,"B100101_09",DATOS!$G:$G,"0311",DATOS!$C:$C,"00")</f>
        <v>4.2179820004408866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Toro'!C$6,DATOS!$B:$B,"B100101_09",DATOS!$G:$G,"0311",DATOS!$C:$C,"00")</f>
        <v>0.71332494781087685</v>
      </c>
      <c r="D19" s="194">
        <f>SUMIFS(DATOS!$F:$F,DATOS!$D:$D,$A19,DATOS!$A:$A,'Cuadro 2-Bocas del Toro'!D$6,DATOS!$B:$B,"B100101_09",DATOS!$G:$G,"0311",DATOS!$C:$C,"00")</f>
        <v>1.0816007413407034</v>
      </c>
      <c r="E19" s="194">
        <f>SUMIFS(DATOS!$F:$F,DATOS!$D:$D,$A19,DATOS!$A:$A,'Cuadro 2-Bocas del Toro'!E$6,DATOS!$B:$B,"B100101_09",DATOS!$G:$G,"0311",DATOS!$C:$C,"00")</f>
        <v>1.0508539454107575</v>
      </c>
      <c r="F19" s="194">
        <f>SUMIFS(DATOS!$F:$F,DATOS!$D:$D,$A19,DATOS!$A:$A,'Cuadro 2-Bocas del Toro'!F$6,DATOS!$B:$B,"B100101_09",DATOS!$G:$G,"0311",DATOS!$C:$C,"00")</f>
        <v>0.99636771655428646</v>
      </c>
      <c r="G19" s="194">
        <f>SUMIFS(DATOS!$F:$F,DATOS!$D:$D,$A19,DATOS!$A:$A,'Cuadro 2-Bocas del Toro'!G$6,DATOS!$B:$B,"B100101_09",DATOS!$G:$G,"0311",DATOS!$C:$C,"00")</f>
        <v>1.0670730012090075</v>
      </c>
      <c r="H19" s="194">
        <f>SUMIFS(DATOS!$F:$F,DATOS!$D:$D,$A19,DATOS!$A:$A,'Cuadro 2-Bocas del Toro'!H$6,DATOS!$B:$B,"B100101_09",DATOS!$G:$G,"0311",DATOS!$C:$C,"00")</f>
        <v>1.1924823198910994</v>
      </c>
      <c r="I19" s="195">
        <f>SUMIFS(DATOS!$F:$F,DATOS!$D:$D,$A19,DATOS!$A:$A,'Cuadro 2-Bocas del Toro'!I$6,DATOS!$B:$B,"B100101_09",DATOS!$G:$G,"0311",DATOS!$C:$C,"00")</f>
        <v>1.0579090587097033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Toro'!C$6,DATOS!$B:$B,"B100101_09",DATOS!$G:$G,"0311",DATOS!$C:$C,"00")</f>
        <v>11.429886561784889</v>
      </c>
      <c r="D20" s="194">
        <f>SUMIFS(DATOS!$F:$F,DATOS!$D:$D,$A20,DATOS!$A:$A,'Cuadro 2-Bocas del Toro'!D$6,DATOS!$B:$B,"B100101_09",DATOS!$G:$G,"0311",DATOS!$C:$C,"00")</f>
        <v>11.812453705330904</v>
      </c>
      <c r="E20" s="194">
        <f>SUMIFS(DATOS!$F:$F,DATOS!$D:$D,$A20,DATOS!$A:$A,'Cuadro 2-Bocas del Toro'!E$6,DATOS!$B:$B,"B100101_09",DATOS!$G:$G,"0311",DATOS!$C:$C,"00")</f>
        <v>4.8231036042752997</v>
      </c>
      <c r="F20" s="194">
        <f>SUMIFS(DATOS!$F:$F,DATOS!$D:$D,$A20,DATOS!$A:$A,'Cuadro 2-Bocas del Toro'!F$6,DATOS!$B:$B,"B100101_09",DATOS!$G:$G,"0311",DATOS!$C:$C,"00")</f>
        <v>4.9079525544229128</v>
      </c>
      <c r="G20" s="194">
        <f>SUMIFS(DATOS!$F:$F,DATOS!$D:$D,$A20,DATOS!$A:$A,'Cuadro 2-Bocas del Toro'!G$6,DATOS!$B:$B,"B100101_09",DATOS!$G:$G,"0311",DATOS!$C:$C,"00")</f>
        <v>5.9066211483078872</v>
      </c>
      <c r="H20" s="194">
        <f>SUMIFS(DATOS!$F:$F,DATOS!$D:$D,$A20,DATOS!$A:$A,'Cuadro 2-Bocas del Toro'!H$6,DATOS!$B:$B,"B100101_09",DATOS!$G:$G,"0311",DATOS!$C:$C,"00")</f>
        <v>7.3545426165371133</v>
      </c>
      <c r="I20" s="195">
        <f>SUMIFS(DATOS!$F:$F,DATOS!$D:$D,$A20,DATOS!$A:$A,'Cuadro 2-Bocas del Toro'!I$6,DATOS!$B:$B,"B100101_09",DATOS!$G:$G,"0311",DATOS!$C:$C,"00")</f>
        <v>8.3771846753302324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Toro'!C$6,DATOS!$B:$B,"B100101_09",DATOS!$G:$G,"0311",DATOS!$C:$C,"00")</f>
        <v>17.371142839447572</v>
      </c>
      <c r="D21" s="196">
        <f>SUMIFS(DATOS!$F:$F,DATOS!$D:$D,$A21,DATOS!$A:$A,'Cuadro 2-Bocas del Toro'!D$6,DATOS!$B:$B,"B100101_09",DATOS!$G:$G,"0311",DATOS!$C:$C,"00")</f>
        <v>24.058167414213855</v>
      </c>
      <c r="E21" s="196">
        <f>SUMIFS(DATOS!$F:$F,DATOS!$D:$D,$A21,DATOS!$A:$A,'Cuadro 2-Bocas del Toro'!E$6,DATOS!$B:$B,"B100101_09",DATOS!$G:$G,"0311",DATOS!$C:$C,"00")</f>
        <v>19.331525562328174</v>
      </c>
      <c r="F21" s="196">
        <f>SUMIFS(DATOS!$F:$F,DATOS!$D:$D,$A21,DATOS!$A:$A,'Cuadro 2-Bocas del Toro'!F$6,DATOS!$B:$B,"B100101_09",DATOS!$G:$G,"0311",DATOS!$C:$C,"00")</f>
        <v>19.159109164630877</v>
      </c>
      <c r="G21" s="196">
        <f>SUMIFS(DATOS!$F:$F,DATOS!$D:$D,$A21,DATOS!$A:$A,'Cuadro 2-Bocas del Toro'!G$6,DATOS!$B:$B,"B100101_09",DATOS!$G:$G,"0311",DATOS!$C:$C,"00")</f>
        <v>14.050606828404289</v>
      </c>
      <c r="H21" s="197">
        <f>SUMIFS(DATOS!$F:$F,DATOS!$D:$D,$A21,DATOS!$A:$A,'Cuadro 2-Bocas del Toro'!H$6,DATOS!$B:$B,"B100101_09",DATOS!$G:$G,"0311",DATOS!$C:$C,"00")</f>
        <v>16.672271731094636</v>
      </c>
      <c r="I21" s="198">
        <f>SUMIFS(DATOS!$F:$F,DATOS!$D:$D,$A21,DATOS!$A:$A,'Cuadro 2-Bocas del Toro'!I$6,DATOS!$B:$B,"B100101_09",DATOS!$G:$G,"0311",DATOS!$C:$C,"00")</f>
        <v>14.449470839468823</v>
      </c>
    </row>
    <row r="22" spans="1:16" ht="32.25" customHeight="1">
      <c r="A22" s="25"/>
      <c r="B22" s="22" t="s">
        <v>93</v>
      </c>
      <c r="C22" s="196">
        <f>SUMIFS(DATOS!$F:$F,DATOS!$D:$D,"GOB",DATOS!$A:$A,'Cuadro 2-Bocas del Toro'!C$6,DATOS!$B:$B,"B100103_09",DATOS!$G:$G,"0311",DATOS!$C:$C,"00")</f>
        <v>337.49867825088012</v>
      </c>
      <c r="D22" s="196">
        <f>SUMIFS(DATOS!$F:$F,DATOS!$D:$D,"GOB",DATOS!$A:$A,'Cuadro 2-Bocas del Toro'!D$6,DATOS!$B:$B,"B100103_09",DATOS!$G:$G,"0311",DATOS!$C:$C,"00")</f>
        <v>394.15047693034978</v>
      </c>
      <c r="E22" s="196">
        <f>SUMIFS(DATOS!$F:$F,DATOS!$D:$D,"GOB",DATOS!$A:$A,'Cuadro 2-Bocas del Toro'!E$6,DATOS!$B:$B,"B100103_09",DATOS!$G:$G,"0311",DATOS!$C:$C,"00")</f>
        <v>473.73404327314842</v>
      </c>
      <c r="F22" s="196">
        <f>SUMIFS(DATOS!$F:$F,DATOS!$D:$D,"GOB",DATOS!$A:$A,'Cuadro 2-Bocas del Toro'!F$6,DATOS!$B:$B,"B100103_09",DATOS!$G:$G,"0311",DATOS!$C:$C,"00")</f>
        <v>540.06853791670642</v>
      </c>
      <c r="G22" s="196">
        <f>SUMIFS(DATOS!$F:$F,DATOS!$D:$D,"GOB",DATOS!$A:$A,'Cuadro 2-Bocas del Toro'!G$6,DATOS!$B:$B,"B100103_09",DATOS!$G:$G,"0311",DATOS!$C:$C,"00")</f>
        <v>535.35445906230086</v>
      </c>
      <c r="H22" s="197">
        <f>SUMIFS(DATOS!$F:$F,DATOS!$D:$D,"GOB",DATOS!$A:$A,'Cuadro 2-Bocas del Toro'!H$6,DATOS!$B:$B,"B100103_09",DATOS!$G:$G,"0311",DATOS!$C:$C,"00")</f>
        <v>494.23288506040711</v>
      </c>
      <c r="I22" s="198">
        <f>SUMIFS(DATOS!$F:$F,DATOS!$D:$D,"GOB",DATOS!$A:$A,'Cuadro 2-Bocas del Toro'!I$6,DATOS!$B:$B,"B100103_09",DATOS!$G:$G,"0311",DATOS!$C:$C,"00")</f>
        <v>531.41080902691442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Toro'!C$6,DATOS!$B:$B,"VAB_09",DATOS!$G:$G,"0311",DATOS!$C:$C,"00")</f>
        <v>1716.7149460924045</v>
      </c>
      <c r="D23" s="199">
        <f>SUMIFS(DATOS!$F:$F,DATOS!$D:$D,"VAB",DATOS!$A:$A,'Cuadro 2-Bocas del Toro'!D$6,DATOS!$B:$B,"VAB_09",DATOS!$G:$G,"0311",DATOS!$C:$C,"00")</f>
        <v>1697.248035080504</v>
      </c>
      <c r="E23" s="199">
        <f>SUMIFS(DATOS!$F:$F,DATOS!$D:$D,"VAB",DATOS!$A:$A,'Cuadro 2-Bocas del Toro'!E$6,DATOS!$B:$B,"VAB_09",DATOS!$G:$G,"0311",DATOS!$C:$C,"00")</f>
        <v>1551.2691298937318</v>
      </c>
      <c r="F23" s="199">
        <f>SUMIFS(DATOS!$F:$F,DATOS!$D:$D,"VAB",DATOS!$A:$A,'Cuadro 2-Bocas del Toro'!F$6,DATOS!$B:$B,"VAB_09",DATOS!$G:$G,"0311",DATOS!$C:$C,"00")</f>
        <v>1808.757461023604</v>
      </c>
      <c r="G23" s="199">
        <f>SUMIFS(DATOS!$F:$F,DATOS!$D:$D,"VAB",DATOS!$A:$A,'Cuadro 2-Bocas del Toro'!G$6,DATOS!$B:$B,"VAB_09",DATOS!$G:$G,"0311",DATOS!$C:$C,"00")</f>
        <v>1919.9420351783369</v>
      </c>
      <c r="H23" s="200">
        <f>SUMIFS(DATOS!$F:$F,DATOS!$D:$D,"VAB",DATOS!$A:$A,'Cuadro 2-Bocas del Toro'!H$6,DATOS!$B:$B,"VAB_09",DATOS!$G:$G,"0311",DATOS!$C:$C,"00")</f>
        <v>1960.2691697722639</v>
      </c>
      <c r="I23" s="201">
        <f>SUMIFS(DATOS!$F:$F,DATOS!$D:$D,"VAB",DATOS!$A:$A,'Cuadro 2-Bocas del Toro'!I$6,DATOS!$B:$B,"VAB_09",DATOS!$G:$G,"0311",DATOS!$C:$C,"00")</f>
        <v>2057.7071325474412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Toro'!C$6,DATOS!$B:$B,"IMP_09",DATOS!$G:$G,"0311",DATOS!$C:$C,"00")</f>
        <v>69.131519636960675</v>
      </c>
      <c r="D24" s="196">
        <f>SUMIFS(DATOS!$F:$F,DATOS!$D:$D,"IMP",DATOS!$A:$A,'Cuadro 2-Bocas del Toro'!D$6,DATOS!$B:$B,"IMP_09",DATOS!$G:$G,"0311",DATOS!$C:$C,"00")</f>
        <v>66.851961197947972</v>
      </c>
      <c r="E24" s="196">
        <f>SUMIFS(DATOS!$F:$F,DATOS!$D:$D,"IMP",DATOS!$A:$A,'Cuadro 2-Bocas del Toro'!E$6,DATOS!$B:$B,"IMP_09",DATOS!$G:$G,"0311",DATOS!$C:$C,"00")</f>
        <v>44.111796781891591</v>
      </c>
      <c r="F24" s="196">
        <f>SUMIFS(DATOS!$F:$F,DATOS!$D:$D,"IMP",DATOS!$A:$A,'Cuadro 2-Bocas del Toro'!F$6,DATOS!$B:$B,"IMP_09",DATOS!$G:$G,"0311",DATOS!$C:$C,"00")</f>
        <v>53.236458740509072</v>
      </c>
      <c r="G24" s="196">
        <f>SUMIFS(DATOS!$F:$F,DATOS!$D:$D,"IMP",DATOS!$A:$A,'Cuadro 2-Bocas del Toro'!G$6,DATOS!$B:$B,"IMP_09",DATOS!$G:$G,"0311",DATOS!$C:$C,"00")</f>
        <v>60.653426962694851</v>
      </c>
      <c r="H24" s="197">
        <f>SUMIFS(DATOS!$F:$F,DATOS!$D:$D,"IMP",DATOS!$A:$A,'Cuadro 2-Bocas del Toro'!H$6,DATOS!$B:$B,"IMP_09",DATOS!$G:$G,"0311",DATOS!$C:$C,"00")</f>
        <v>62.760117243885276</v>
      </c>
      <c r="I24" s="198">
        <f>SUMIFS(DATOS!$F:$F,DATOS!$D:$D,"IMP",DATOS!$A:$A,'Cuadro 2-Bocas del Toro'!I$6,DATOS!$B:$B,"IMP_09",DATOS!$G:$G,"0311",DATOS!$C:$C,"00")</f>
        <v>65.165287051055969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Toro'!C$6,DATOS!$B:$B,"PIB_09",DATOS!$G:$G,"0311",DATOS!$C:$C,"00")</f>
        <v>1785.8464657293653</v>
      </c>
      <c r="D25" s="199">
        <f>SUMIFS(DATOS!$F:$F,DATOS!$D:$D,"PIB",DATOS!$A:$A,'Cuadro 2-Bocas del Toro'!D$6,DATOS!$B:$B,"PIB_09",DATOS!$G:$G,"0311",DATOS!$C:$C,"00")</f>
        <v>1764.099996278452</v>
      </c>
      <c r="E25" s="199">
        <f>SUMIFS(DATOS!$F:$F,DATOS!$D:$D,"PIB",DATOS!$A:$A,'Cuadro 2-Bocas del Toro'!E$6,DATOS!$B:$B,"PIB_09",DATOS!$G:$G,"0311",DATOS!$C:$C,"00")</f>
        <v>1596.1777154331687</v>
      </c>
      <c r="F25" s="199">
        <f>SUMIFS(DATOS!$F:$F,DATOS!$D:$D,"PIB",DATOS!$A:$A,'Cuadro 2-Bocas del Toro'!F$6,DATOS!$B:$B,"PIB_09",DATOS!$G:$G,"0311",DATOS!$C:$C,"00")</f>
        <v>1862.870633343091</v>
      </c>
      <c r="G25" s="199">
        <f>SUMIFS(DATOS!$F:$F,DATOS!$D:$D,"PIB",DATOS!$A:$A,'Cuadro 2-Bocas del Toro'!G$6,DATOS!$B:$B,"PIB_09",DATOS!$G:$G,"0311",DATOS!$C:$C,"00")</f>
        <v>1981.489338877936</v>
      </c>
      <c r="H25" s="200">
        <f>SUMIFS(DATOS!$F:$F,DATOS!$D:$D,"PIB",DATOS!$A:$A,'Cuadro 2-Bocas del Toro'!H$6,DATOS!$B:$B,"PIB_09",DATOS!$G:$G,"0311",DATOS!$C:$C,"00")</f>
        <v>2023.9424069488732</v>
      </c>
      <c r="I25" s="201">
        <f>SUMIFS(DATOS!$F:$F,DATOS!$D:$D,"PIB",DATOS!$A:$A,'Cuadro 2-Bocas del Toro'!I$6,DATOS!$B:$B,"PIB_09",DATOS!$G:$G,"0311",DATOS!$C:$C,"00")</f>
        <v>2123.8827711506492</v>
      </c>
      <c r="J25" s="203"/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6.25" customHeight="1" thickBot="1">
      <c r="A27" s="192" t="s">
        <v>211</v>
      </c>
      <c r="B27" s="192"/>
      <c r="C27" s="192"/>
      <c r="D27" s="192"/>
      <c r="E27" s="192"/>
      <c r="F27" s="192"/>
      <c r="G27" s="192"/>
      <c r="H27" s="192"/>
      <c r="I27" s="192"/>
      <c r="J27" s="90"/>
      <c r="K27" s="75"/>
    </row>
    <row r="28" spans="1:16" ht="32.1" customHeight="1" thickTop="1">
      <c r="A28" s="217" t="s">
        <v>29</v>
      </c>
      <c r="B28" s="217" t="s">
        <v>30</v>
      </c>
      <c r="C28" s="217" t="s">
        <v>342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9.2162655916368106</v>
      </c>
      <c r="D30" s="19">
        <f t="shared" ref="D30:I30" si="0">IFERROR(D7/D$25*100,"")</f>
        <v>8.3443178967639167</v>
      </c>
      <c r="E30" s="19">
        <f t="shared" si="0"/>
        <v>8.9676282080149274</v>
      </c>
      <c r="F30" s="19">
        <f t="shared" si="0"/>
        <v>9.1112593923493659</v>
      </c>
      <c r="G30" s="19">
        <f t="shared" si="0"/>
        <v>8.6140829099512093</v>
      </c>
      <c r="H30" s="19">
        <f t="shared" si="0"/>
        <v>8.6232499465471548</v>
      </c>
      <c r="I30" s="143">
        <f t="shared" si="0"/>
        <v>8.0621544695633105</v>
      </c>
      <c r="J30" s="50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46" si="1">IFERROR(C8/C$25*100,"")</f>
        <v>1.4561789025622458</v>
      </c>
      <c r="D31" s="19">
        <f t="shared" si="1"/>
        <v>1.2059907088907611</v>
      </c>
      <c r="E31" s="19">
        <f t="shared" si="1"/>
        <v>0.80910462626549962</v>
      </c>
      <c r="F31" s="19">
        <f t="shared" si="1"/>
        <v>1.0861398151723483</v>
      </c>
      <c r="G31" s="19">
        <f t="shared" si="1"/>
        <v>1.0428016438690404</v>
      </c>
      <c r="H31" s="19">
        <f t="shared" si="1"/>
        <v>1.0548922812327262</v>
      </c>
      <c r="I31" s="106">
        <f t="shared" si="1"/>
        <v>1.4875747637402466</v>
      </c>
      <c r="J31" s="50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si="1"/>
        <v>10.582701051265522</v>
      </c>
      <c r="D32" s="19">
        <f t="shared" si="1"/>
        <v>9.8006541286014315</v>
      </c>
      <c r="E32" s="19">
        <f t="shared" si="1"/>
        <v>10.165958845982576</v>
      </c>
      <c r="F32" s="19">
        <f t="shared" si="1"/>
        <v>9.3595226272214802</v>
      </c>
      <c r="G32" s="19">
        <f t="shared" si="1"/>
        <v>10.132698349115952</v>
      </c>
      <c r="H32" s="19">
        <f t="shared" si="1"/>
        <v>10.306129753653227</v>
      </c>
      <c r="I32" s="106">
        <f t="shared" si="1"/>
        <v>10.517322419605261</v>
      </c>
      <c r="J32" s="50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si="1"/>
        <v>1.2187748111837455</v>
      </c>
      <c r="D33" s="19">
        <f t="shared" si="1"/>
        <v>1.2326936848461019</v>
      </c>
      <c r="E33" s="19">
        <f t="shared" si="1"/>
        <v>1.5089311021971457</v>
      </c>
      <c r="F33" s="19">
        <f t="shared" si="1"/>
        <v>1.3918675541961802</v>
      </c>
      <c r="G33" s="19">
        <f t="shared" si="1"/>
        <v>1.444684565712113</v>
      </c>
      <c r="H33" s="19">
        <f t="shared" si="1"/>
        <v>1.4104396016880738</v>
      </c>
      <c r="I33" s="106">
        <f t="shared" si="1"/>
        <v>1.4234046863438452</v>
      </c>
      <c r="J33" s="50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94</v>
      </c>
      <c r="C34" s="19">
        <f t="shared" si="1"/>
        <v>20.079155676873338</v>
      </c>
      <c r="D34" s="19">
        <f t="shared" si="1"/>
        <v>15.277113681949725</v>
      </c>
      <c r="E34" s="19">
        <f t="shared" si="1"/>
        <v>10.375321361196917</v>
      </c>
      <c r="F34" s="19">
        <f t="shared" si="1"/>
        <v>13.128674965237854</v>
      </c>
      <c r="G34" s="19">
        <f t="shared" si="1"/>
        <v>11.862893658830355</v>
      </c>
      <c r="H34" s="19">
        <f t="shared" si="1"/>
        <v>12.038761756457546</v>
      </c>
      <c r="I34" s="106">
        <f t="shared" si="1"/>
        <v>11.743889622343012</v>
      </c>
      <c r="J34" s="50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si="1"/>
        <v>9.4569715787520963</v>
      </c>
      <c r="D35" s="19">
        <f t="shared" si="1"/>
        <v>9.5965344862632147</v>
      </c>
      <c r="E35" s="19">
        <f t="shared" si="1"/>
        <v>9.6052677981758681</v>
      </c>
      <c r="F35" s="19">
        <f t="shared" si="1"/>
        <v>12.427058777942401</v>
      </c>
      <c r="G35" s="19">
        <f t="shared" si="1"/>
        <v>14.401335971639476</v>
      </c>
      <c r="H35" s="19">
        <f t="shared" si="1"/>
        <v>15.11911158570031</v>
      </c>
      <c r="I35" s="106">
        <f t="shared" si="1"/>
        <v>14.583712254345418</v>
      </c>
      <c r="J35" s="50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si="1"/>
        <v>4.0120183753601673</v>
      </c>
      <c r="D36" s="19">
        <f t="shared" si="1"/>
        <v>5.153631198921687</v>
      </c>
      <c r="E36" s="19">
        <f t="shared" si="1"/>
        <v>4.1499383888470627</v>
      </c>
      <c r="F36" s="19">
        <f t="shared" si="1"/>
        <v>4.4637710763062595</v>
      </c>
      <c r="G36" s="19">
        <f t="shared" si="1"/>
        <v>4.8600110658375204</v>
      </c>
      <c r="H36" s="19">
        <f t="shared" si="1"/>
        <v>4.6039754242333846</v>
      </c>
      <c r="I36" s="106">
        <f t="shared" si="1"/>
        <v>4.7995883400465997</v>
      </c>
      <c r="J36" s="50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si="1"/>
        <v>3.6160202042045961</v>
      </c>
      <c r="D37" s="19">
        <f t="shared" si="1"/>
        <v>3.3528893642582283</v>
      </c>
      <c r="E37" s="19">
        <f t="shared" si="1"/>
        <v>1.7516289089173516</v>
      </c>
      <c r="F37" s="19">
        <f t="shared" si="1"/>
        <v>1.7487362460965297</v>
      </c>
      <c r="G37" s="19">
        <f t="shared" si="1"/>
        <v>1.8936947631250967</v>
      </c>
      <c r="H37" s="19">
        <f t="shared" si="1"/>
        <v>2.0015490229930806</v>
      </c>
      <c r="I37" s="106">
        <f t="shared" si="1"/>
        <v>2.3745008735638486</v>
      </c>
      <c r="J37" s="50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si="1"/>
        <v>5.2934263996985118</v>
      </c>
      <c r="D38" s="19">
        <f t="shared" si="1"/>
        <v>5.3086690690669567</v>
      </c>
      <c r="E38" s="19">
        <f t="shared" si="1"/>
        <v>5.8875201188763358</v>
      </c>
      <c r="F38" s="19">
        <f t="shared" si="1"/>
        <v>5.2894134232835022</v>
      </c>
      <c r="G38" s="19">
        <f t="shared" si="1"/>
        <v>4.8675229069033525</v>
      </c>
      <c r="H38" s="19">
        <f t="shared" si="1"/>
        <v>5.0623242280127645</v>
      </c>
      <c r="I38" s="106">
        <f t="shared" si="1"/>
        <v>5.117277458945181</v>
      </c>
      <c r="J38" s="50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si="1"/>
        <v>3.9816383253632912</v>
      </c>
      <c r="D39" s="19">
        <f t="shared" si="1"/>
        <v>4.304505611659688</v>
      </c>
      <c r="E39" s="19">
        <f t="shared" si="1"/>
        <v>4.6147457402802479</v>
      </c>
      <c r="F39" s="19">
        <f t="shared" si="1"/>
        <v>4.2167228647675543</v>
      </c>
      <c r="G39" s="19">
        <f t="shared" si="1"/>
        <v>5.101505081536966</v>
      </c>
      <c r="H39" s="19">
        <f t="shared" si="1"/>
        <v>3.6373043271895265</v>
      </c>
      <c r="I39" s="106">
        <f t="shared" si="1"/>
        <v>3.6806844056505494</v>
      </c>
      <c r="J39" s="50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95</v>
      </c>
      <c r="C40" s="19">
        <f t="shared" si="1"/>
        <v>6.4020227587584202</v>
      </c>
      <c r="D40" s="19">
        <f t="shared" si="1"/>
        <v>7.9435548855320199</v>
      </c>
      <c r="E40" s="19">
        <f t="shared" si="1"/>
        <v>7.8268764415885368</v>
      </c>
      <c r="F40" s="19">
        <f t="shared" si="1"/>
        <v>4.1113156666229154</v>
      </c>
      <c r="G40" s="19">
        <f t="shared" si="1"/>
        <v>4.4748348404154363</v>
      </c>
      <c r="H40" s="19">
        <f t="shared" si="1"/>
        <v>7.2745182938691091</v>
      </c>
      <c r="I40" s="106">
        <f t="shared" si="1"/>
        <v>6.9794594584299041</v>
      </c>
      <c r="J40" s="50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si="1"/>
        <v>0.26253915651594784</v>
      </c>
      <c r="D41" s="19">
        <f t="shared" si="1"/>
        <v>0.25232317907592361</v>
      </c>
      <c r="E41" s="19">
        <f t="shared" si="1"/>
        <v>0.19401519780405838</v>
      </c>
      <c r="F41" s="19">
        <f t="shared" si="1"/>
        <v>0.17559565575207742</v>
      </c>
      <c r="G41" s="19">
        <f t="shared" si="1"/>
        <v>0.18582347494470008</v>
      </c>
      <c r="H41" s="19">
        <f t="shared" si="1"/>
        <v>0.19091351993235861</v>
      </c>
      <c r="I41" s="106">
        <f t="shared" si="1"/>
        <v>0.19859768428535837</v>
      </c>
      <c r="J41" s="50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si="1"/>
        <v>3.994324044645936E-2</v>
      </c>
      <c r="D42" s="19">
        <f t="shared" si="1"/>
        <v>6.1311759175922562E-2</v>
      </c>
      <c r="E42" s="19">
        <f t="shared" si="1"/>
        <v>6.5835648201965913E-2</v>
      </c>
      <c r="F42" s="19">
        <f t="shared" si="1"/>
        <v>5.3485609720853984E-2</v>
      </c>
      <c r="G42" s="19">
        <f t="shared" si="1"/>
        <v>5.3852068758202962E-2</v>
      </c>
      <c r="H42" s="19">
        <f t="shared" si="1"/>
        <v>5.8918787204463315E-2</v>
      </c>
      <c r="I42" s="106">
        <f t="shared" si="1"/>
        <v>4.9810143623725676E-2</v>
      </c>
      <c r="J42" s="50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si="1"/>
        <v>0.64002627219786001</v>
      </c>
      <c r="D43" s="19">
        <f t="shared" si="1"/>
        <v>0.66960227482855139</v>
      </c>
      <c r="E43" s="19">
        <f t="shared" si="1"/>
        <v>0.30216582762943861</v>
      </c>
      <c r="F43" s="19">
        <f t="shared" si="1"/>
        <v>0.26346180279921771</v>
      </c>
      <c r="G43" s="19">
        <f t="shared" si="1"/>
        <v>0.29808997870524234</v>
      </c>
      <c r="H43" s="19">
        <f t="shared" si="1"/>
        <v>0.36337706998413105</v>
      </c>
      <c r="I43" s="106">
        <f t="shared" si="1"/>
        <v>0.3944278276145981</v>
      </c>
      <c r="J43" s="50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si="1"/>
        <v>0.97271199808058229</v>
      </c>
      <c r="D44" s="132">
        <f t="shared" si="1"/>
        <v>1.3637643821193246</v>
      </c>
      <c r="E44" s="132">
        <f t="shared" si="1"/>
        <v>1.2111136106847606</v>
      </c>
      <c r="F44" s="132">
        <f t="shared" si="1"/>
        <v>1.02847233842793</v>
      </c>
      <c r="G44" s="132">
        <f t="shared" si="1"/>
        <v>0.70909323369666821</v>
      </c>
      <c r="H44" s="132">
        <f t="shared" si="1"/>
        <v>0.8237522803936087</v>
      </c>
      <c r="I44" s="117">
        <f t="shared" si="1"/>
        <v>0.68033278652383333</v>
      </c>
      <c r="J44" s="50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93</v>
      </c>
      <c r="C45" s="132">
        <f t="shared" si="1"/>
        <v>18.898527097795096</v>
      </c>
      <c r="D45" s="132">
        <f t="shared" si="1"/>
        <v>22.342864790082775</v>
      </c>
      <c r="E45" s="132">
        <f t="shared" si="1"/>
        <v>29.67927936173367</v>
      </c>
      <c r="F45" s="132">
        <f t="shared" si="1"/>
        <v>28.991199294795056</v>
      </c>
      <c r="G45" s="132">
        <f t="shared" si="1"/>
        <v>27.017781451474153</v>
      </c>
      <c r="H45" s="132">
        <f t="shared" si="1"/>
        <v>24.419315656588836</v>
      </c>
      <c r="I45" s="117">
        <f t="shared" si="1"/>
        <v>25.020722247255371</v>
      </c>
      <c r="J45" s="50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si="1"/>
        <v>96.128921440694697</v>
      </c>
      <c r="D46" s="144">
        <f t="shared" si="1"/>
        <v>96.210421102036221</v>
      </c>
      <c r="E46" s="144">
        <f t="shared" si="1"/>
        <v>97.186492136481831</v>
      </c>
      <c r="F46" s="144">
        <f t="shared" si="1"/>
        <v>97.095172828916418</v>
      </c>
      <c r="G46" s="144">
        <f t="shared" si="1"/>
        <v>96.893886709758846</v>
      </c>
      <c r="H46" s="144">
        <f t="shared" si="1"/>
        <v>96.853999552655367</v>
      </c>
      <c r="I46" s="129">
        <f t="shared" si="1"/>
        <v>96.884214161812892</v>
      </c>
      <c r="J46" s="93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8" si="2">IFERROR(C24/C$25*100,"")</f>
        <v>3.8710785593052854</v>
      </c>
      <c r="D47" s="132">
        <f t="shared" si="2"/>
        <v>3.7895788979637759</v>
      </c>
      <c r="E47" s="132">
        <f t="shared" si="2"/>
        <v>2.7635893143590584</v>
      </c>
      <c r="F47" s="132">
        <f t="shared" si="2"/>
        <v>2.8577646664047411</v>
      </c>
      <c r="G47" s="132">
        <f t="shared" si="2"/>
        <v>3.0610019328714255</v>
      </c>
      <c r="H47" s="132">
        <f t="shared" si="2"/>
        <v>3.100884542386618</v>
      </c>
      <c r="I47" s="117">
        <f t="shared" si="2"/>
        <v>3.0682148721302345</v>
      </c>
      <c r="J47" s="50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si="2"/>
        <v>100</v>
      </c>
      <c r="D48" s="144">
        <f t="shared" si="2"/>
        <v>100</v>
      </c>
      <c r="E48" s="144">
        <f t="shared" si="2"/>
        <v>100</v>
      </c>
      <c r="F48" s="144">
        <f t="shared" si="2"/>
        <v>100</v>
      </c>
      <c r="G48" s="144">
        <f t="shared" si="2"/>
        <v>100</v>
      </c>
      <c r="H48" s="144">
        <f t="shared" si="2"/>
        <v>100</v>
      </c>
      <c r="I48" s="129">
        <f t="shared" si="2"/>
        <v>100</v>
      </c>
      <c r="K48" s="50"/>
    </row>
    <row r="49" spans="1:11">
      <c r="A49" s="7"/>
      <c r="B49" s="32"/>
      <c r="C49" s="15"/>
      <c r="D49" s="15"/>
      <c r="E49" s="15"/>
      <c r="F49" s="15"/>
      <c r="G49" s="15"/>
    </row>
    <row r="50" spans="1:11" s="74" customFormat="1" ht="30.75" customHeight="1" thickBot="1">
      <c r="A50" s="190" t="s">
        <v>212</v>
      </c>
      <c r="B50" s="190"/>
      <c r="C50" s="190"/>
      <c r="D50" s="190"/>
      <c r="E50" s="190"/>
      <c r="F50" s="190"/>
      <c r="G50" s="190"/>
      <c r="H50" s="190"/>
      <c r="I50" s="190"/>
      <c r="J50" s="130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-10.563470185667896</v>
      </c>
      <c r="E53" s="20">
        <f t="shared" ref="E53:I53" si="3">IFERROR(E7/D7*100-100,"")</f>
        <v>-2.7600342141478933</v>
      </c>
      <c r="F53" s="20">
        <f t="shared" si="3"/>
        <v>18.577494535552091</v>
      </c>
      <c r="G53" s="20">
        <f t="shared" si="3"/>
        <v>0.56333792456743481</v>
      </c>
      <c r="H53" s="19">
        <f t="shared" si="3"/>
        <v>2.2511819849618604</v>
      </c>
      <c r="I53" s="143">
        <f t="shared" si="3"/>
        <v>-1.8901679291113567</v>
      </c>
    </row>
    <row r="54" spans="1:11" ht="32.25" customHeight="1">
      <c r="A54" s="56" t="s">
        <v>1</v>
      </c>
      <c r="B54" s="57" t="s">
        <v>31</v>
      </c>
      <c r="D54" s="20">
        <f t="shared" ref="D54:I69" si="4">IFERROR(D8/C8*100-100,"")</f>
        <v>-18.189639242417627</v>
      </c>
      <c r="E54" s="20">
        <f t="shared" si="4"/>
        <v>-39.295796290500029</v>
      </c>
      <c r="F54" s="20">
        <f t="shared" si="4"/>
        <v>56.668794952993409</v>
      </c>
      <c r="G54" s="20">
        <f t="shared" si="4"/>
        <v>2.1233414899801062</v>
      </c>
      <c r="H54" s="19">
        <f t="shared" si="4"/>
        <v>3.3267614359823341</v>
      </c>
      <c r="I54" s="106">
        <f t="shared" si="4"/>
        <v>47.980019207171466</v>
      </c>
    </row>
    <row r="55" spans="1:11" ht="32.25" customHeight="1">
      <c r="A55" s="56" t="s">
        <v>2</v>
      </c>
      <c r="B55" s="57" t="s">
        <v>3</v>
      </c>
      <c r="D55" s="20">
        <f t="shared" si="4"/>
        <v>-8.5175861504153545</v>
      </c>
      <c r="E55" s="20">
        <f t="shared" si="4"/>
        <v>-6.146315128423268</v>
      </c>
      <c r="F55" s="20">
        <f t="shared" si="4"/>
        <v>7.4500951792434051</v>
      </c>
      <c r="G55" s="20">
        <f t="shared" si="4"/>
        <v>15.154379332745819</v>
      </c>
      <c r="H55" s="19">
        <f t="shared" si="4"/>
        <v>3.8907549325958541</v>
      </c>
      <c r="I55" s="106">
        <f t="shared" si="4"/>
        <v>7.0882875496137103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4"/>
        <v>-8.9580711702168969E-2</v>
      </c>
      <c r="E56" s="20">
        <f t="shared" si="4"/>
        <v>10.757280444669732</v>
      </c>
      <c r="F56" s="20">
        <f t="shared" si="4"/>
        <v>7.6539461752130507</v>
      </c>
      <c r="G56" s="20">
        <f t="shared" si="4"/>
        <v>10.403836552759387</v>
      </c>
      <c r="H56" s="19">
        <f t="shared" si="4"/>
        <v>-0.27871401067336876</v>
      </c>
      <c r="I56" s="106">
        <f t="shared" si="4"/>
        <v>5.9025188596129254</v>
      </c>
    </row>
    <row r="57" spans="1:11" ht="32.25" customHeight="1">
      <c r="A57" s="56" t="s">
        <v>4</v>
      </c>
      <c r="B57" s="57" t="s">
        <v>94</v>
      </c>
      <c r="D57" s="20">
        <f t="shared" si="4"/>
        <v>-24.842046872688144</v>
      </c>
      <c r="E57" s="20">
        <f t="shared" si="4"/>
        <v>-38.550508829011179</v>
      </c>
      <c r="F57" s="20">
        <f t="shared" si="4"/>
        <v>47.679696894805204</v>
      </c>
      <c r="G57" s="20">
        <f t="shared" si="4"/>
        <v>-3.8877410892917794</v>
      </c>
      <c r="H57" s="19">
        <f t="shared" si="4"/>
        <v>3.6567511170786844</v>
      </c>
      <c r="I57" s="106">
        <f t="shared" si="4"/>
        <v>2.3676026464179074</v>
      </c>
    </row>
    <row r="58" spans="1:11" ht="32.25" customHeight="1">
      <c r="A58" s="56" t="s">
        <v>5</v>
      </c>
      <c r="B58" s="57" t="s">
        <v>54</v>
      </c>
      <c r="D58" s="20">
        <f t="shared" si="4"/>
        <v>0.24008468879841871</v>
      </c>
      <c r="E58" s="20">
        <f t="shared" si="4"/>
        <v>-9.4365218550232868</v>
      </c>
      <c r="F58" s="20">
        <f t="shared" si="4"/>
        <v>50.99422176055927</v>
      </c>
      <c r="G58" s="20">
        <f t="shared" si="4"/>
        <v>23.26604826180278</v>
      </c>
      <c r="H58" s="19">
        <f t="shared" si="4"/>
        <v>7.2333565429984787</v>
      </c>
      <c r="I58" s="106">
        <f t="shared" si="4"/>
        <v>1.2218350441675057</v>
      </c>
    </row>
    <row r="59" spans="1:11" ht="32.25" customHeight="1">
      <c r="A59" s="56" t="s">
        <v>6</v>
      </c>
      <c r="B59" s="57" t="s">
        <v>55</v>
      </c>
      <c r="D59" s="20">
        <f t="shared" si="4"/>
        <v>26.890615375698943</v>
      </c>
      <c r="E59" s="20">
        <f t="shared" si="4"/>
        <v>-27.140471458673304</v>
      </c>
      <c r="F59" s="20">
        <f t="shared" si="4"/>
        <v>25.534101327008756</v>
      </c>
      <c r="G59" s="20">
        <f t="shared" si="4"/>
        <v>15.809553681962484</v>
      </c>
      <c r="H59" s="19">
        <f t="shared" si="4"/>
        <v>-3.2385988087758335</v>
      </c>
      <c r="I59" s="106">
        <f t="shared" si="4"/>
        <v>9.3964892164255076</v>
      </c>
    </row>
    <row r="60" spans="1:11" ht="32.25" customHeight="1">
      <c r="A60" s="56" t="s">
        <v>7</v>
      </c>
      <c r="B60" s="57" t="s">
        <v>32</v>
      </c>
      <c r="D60" s="20">
        <f t="shared" si="4"/>
        <v>-8.4059093714491837</v>
      </c>
      <c r="E60" s="20">
        <f t="shared" si="4"/>
        <v>-52.730509070118138</v>
      </c>
      <c r="F60" s="20">
        <f t="shared" si="4"/>
        <v>16.515488626734125</v>
      </c>
      <c r="G60" s="20">
        <f t="shared" si="4"/>
        <v>15.184677308299825</v>
      </c>
      <c r="H60" s="19">
        <f t="shared" si="4"/>
        <v>7.9599471970898747</v>
      </c>
      <c r="I60" s="106">
        <f t="shared" si="4"/>
        <v>24.491154354888238</v>
      </c>
    </row>
    <row r="61" spans="1:11" ht="32.25" customHeight="1">
      <c r="A61" s="56" t="s">
        <v>8</v>
      </c>
      <c r="B61" s="57" t="s">
        <v>56</v>
      </c>
      <c r="D61" s="20">
        <f t="shared" si="4"/>
        <v>-0.93326392640999245</v>
      </c>
      <c r="E61" s="20">
        <f t="shared" si="4"/>
        <v>0.34709287564291458</v>
      </c>
      <c r="F61" s="20">
        <f t="shared" si="4"/>
        <v>4.8519621425577668</v>
      </c>
      <c r="G61" s="20">
        <f t="shared" si="4"/>
        <v>-2.116489943947812</v>
      </c>
      <c r="H61" s="19">
        <f t="shared" si="4"/>
        <v>6.2302890457476252</v>
      </c>
      <c r="I61" s="106">
        <f t="shared" si="4"/>
        <v>6.0770417721968499</v>
      </c>
    </row>
    <row r="62" spans="1:11" ht="32.25" customHeight="1">
      <c r="A62" s="56" t="s">
        <v>9</v>
      </c>
      <c r="B62" s="57" t="s">
        <v>57</v>
      </c>
      <c r="D62" s="20">
        <f t="shared" si="4"/>
        <v>6.7924501480882213</v>
      </c>
      <c r="E62" s="20">
        <f t="shared" si="4"/>
        <v>-2.9975857295036548</v>
      </c>
      <c r="F62" s="20">
        <f t="shared" si="4"/>
        <v>6.6421112581595594</v>
      </c>
      <c r="G62" s="20">
        <f t="shared" si="4"/>
        <v>28.686298251308983</v>
      </c>
      <c r="H62" s="19">
        <f t="shared" si="4"/>
        <v>-27.173787205171379</v>
      </c>
      <c r="I62" s="106">
        <f t="shared" si="4"/>
        <v>6.1894407868687864</v>
      </c>
    </row>
    <row r="63" spans="1:11" ht="32.25" customHeight="1">
      <c r="A63" s="56" t="s">
        <v>70</v>
      </c>
      <c r="B63" s="57" t="s">
        <v>95</v>
      </c>
      <c r="D63" s="20">
        <f t="shared" si="4"/>
        <v>22.567906238051563</v>
      </c>
      <c r="E63" s="20">
        <f t="shared" si="4"/>
        <v>-10.847890980632656</v>
      </c>
      <c r="F63" s="20">
        <f t="shared" si="4"/>
        <v>-38.695296194939679</v>
      </c>
      <c r="G63" s="20">
        <f t="shared" si="4"/>
        <v>15.772451906373291</v>
      </c>
      <c r="H63" s="19">
        <f t="shared" si="4"/>
        <v>66.047996436893527</v>
      </c>
      <c r="I63" s="106">
        <f t="shared" si="4"/>
        <v>0.68156100086524418</v>
      </c>
    </row>
    <row r="64" spans="1:11" ht="32.25" customHeight="1">
      <c r="A64" s="56" t="s">
        <v>10</v>
      </c>
      <c r="B64" s="57" t="s">
        <v>58</v>
      </c>
      <c r="D64" s="20">
        <f t="shared" si="4"/>
        <v>-5.0615487736581599</v>
      </c>
      <c r="E64" s="20">
        <f t="shared" si="4"/>
        <v>-30.427654138878538</v>
      </c>
      <c r="F64" s="20">
        <f t="shared" si="4"/>
        <v>5.6281003983858398</v>
      </c>
      <c r="G64" s="20">
        <f t="shared" si="4"/>
        <v>12.563050353896003</v>
      </c>
      <c r="H64" s="19">
        <f t="shared" si="4"/>
        <v>4.9403522879466948</v>
      </c>
      <c r="I64" s="106">
        <f t="shared" si="4"/>
        <v>9.1615986181435005</v>
      </c>
    </row>
    <row r="65" spans="1:9" ht="32.25" customHeight="1">
      <c r="A65" s="56" t="s">
        <v>59</v>
      </c>
      <c r="B65" s="57" t="s">
        <v>60</v>
      </c>
      <c r="D65" s="20">
        <f t="shared" si="4"/>
        <v>51.6280545998045</v>
      </c>
      <c r="E65" s="20">
        <f t="shared" si="4"/>
        <v>-2.8427121723154158</v>
      </c>
      <c r="F65" s="20">
        <f t="shared" si="4"/>
        <v>-5.1849478316583202</v>
      </c>
      <c r="G65" s="20">
        <f t="shared" si="4"/>
        <v>7.0963042539394365</v>
      </c>
      <c r="H65" s="19">
        <f t="shared" si="4"/>
        <v>11.752646589315034</v>
      </c>
      <c r="I65" s="106">
        <f t="shared" si="4"/>
        <v>-11.285136805523933</v>
      </c>
    </row>
    <row r="66" spans="1:9" ht="32.25" customHeight="1">
      <c r="A66" s="56" t="s">
        <v>66</v>
      </c>
      <c r="B66" s="57" t="s">
        <v>67</v>
      </c>
      <c r="D66" s="20">
        <f t="shared" si="4"/>
        <v>3.3470773439266281</v>
      </c>
      <c r="E66" s="20">
        <f t="shared" si="4"/>
        <v>-59.169333276636202</v>
      </c>
      <c r="F66" s="20">
        <f t="shared" si="4"/>
        <v>1.7592188994737938</v>
      </c>
      <c r="G66" s="20">
        <f t="shared" si="4"/>
        <v>20.347967565110253</v>
      </c>
      <c r="H66" s="19">
        <f t="shared" si="4"/>
        <v>24.513532049436122</v>
      </c>
      <c r="I66" s="106">
        <f t="shared" si="4"/>
        <v>13.904903569307621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4"/>
        <v>38.495018068592088</v>
      </c>
      <c r="E67" s="23">
        <f t="shared" si="4"/>
        <v>-19.646724417975094</v>
      </c>
      <c r="F67" s="24">
        <f t="shared" si="4"/>
        <v>-0.89189235035485126</v>
      </c>
      <c r="G67" s="24">
        <f t="shared" si="4"/>
        <v>-26.663569231377721</v>
      </c>
      <c r="H67" s="132">
        <f t="shared" si="4"/>
        <v>18.658730791544656</v>
      </c>
      <c r="I67" s="131">
        <f t="shared" si="4"/>
        <v>-13.3323216384494</v>
      </c>
    </row>
    <row r="68" spans="1:9" ht="32.25" customHeight="1">
      <c r="A68" s="25"/>
      <c r="B68" s="78" t="s">
        <v>93</v>
      </c>
      <c r="C68" s="82"/>
      <c r="D68" s="24">
        <f t="shared" si="4"/>
        <v>16.785783865309696</v>
      </c>
      <c r="E68" s="24">
        <f t="shared" si="4"/>
        <v>20.191163274137509</v>
      </c>
      <c r="F68" s="24">
        <f t="shared" si="4"/>
        <v>14.002475774220528</v>
      </c>
      <c r="G68" s="24">
        <f t="shared" si="4"/>
        <v>-0.87286677957393977</v>
      </c>
      <c r="H68" s="24">
        <f t="shared" si="4"/>
        <v>-7.6811864187925352</v>
      </c>
      <c r="I68" s="117">
        <f t="shared" si="4"/>
        <v>7.5223492993517169</v>
      </c>
    </row>
    <row r="69" spans="1:9" ht="32.25" customHeight="1">
      <c r="A69" s="34"/>
      <c r="B69" s="79" t="s">
        <v>33</v>
      </c>
      <c r="C69" s="82"/>
      <c r="D69" s="33">
        <f t="shared" si="4"/>
        <v>-1.1339629247249974</v>
      </c>
      <c r="E69" s="33">
        <f t="shared" si="4"/>
        <v>-8.6009176130728662</v>
      </c>
      <c r="F69" s="33">
        <f t="shared" si="4"/>
        <v>16.598559603098082</v>
      </c>
      <c r="G69" s="88">
        <f t="shared" si="4"/>
        <v>6.147013988918772</v>
      </c>
      <c r="H69" s="88">
        <f t="shared" si="4"/>
        <v>2.1004350055902137</v>
      </c>
      <c r="I69" s="129">
        <f t="shared" si="4"/>
        <v>4.9706420055821923</v>
      </c>
    </row>
    <row r="70" spans="1:9" ht="32.25" customHeight="1">
      <c r="A70" s="21" t="s">
        <v>25</v>
      </c>
      <c r="B70" s="80" t="s">
        <v>34</v>
      </c>
      <c r="C70" s="82"/>
      <c r="D70" s="24">
        <f t="shared" ref="D70:I71" si="5">IFERROR(D24/C24*100-100,"")</f>
        <v>-3.2974227255290316</v>
      </c>
      <c r="E70" s="24">
        <f t="shared" si="5"/>
        <v>-34.015702768573959</v>
      </c>
      <c r="F70" s="24">
        <f t="shared" si="5"/>
        <v>20.685310108164217</v>
      </c>
      <c r="G70" s="24">
        <f t="shared" si="5"/>
        <v>13.932121703170324</v>
      </c>
      <c r="H70" s="24">
        <f t="shared" si="5"/>
        <v>3.4733244050433569</v>
      </c>
      <c r="I70" s="117">
        <f t="shared" si="5"/>
        <v>3.8323220427141962</v>
      </c>
    </row>
    <row r="71" spans="1:9" ht="32.25" customHeight="1">
      <c r="A71" s="30"/>
      <c r="B71" s="81" t="s">
        <v>35</v>
      </c>
      <c r="C71" s="82"/>
      <c r="D71" s="31">
        <f t="shared" si="5"/>
        <v>-1.2177121532131139</v>
      </c>
      <c r="E71" s="31">
        <f t="shared" si="5"/>
        <v>-9.5188640779736033</v>
      </c>
      <c r="F71" s="31">
        <f t="shared" si="5"/>
        <v>16.708222106555809</v>
      </c>
      <c r="G71" s="31">
        <f t="shared" si="5"/>
        <v>6.3675224361647196</v>
      </c>
      <c r="H71" s="31">
        <f t="shared" si="5"/>
        <v>2.1424827899895433</v>
      </c>
      <c r="I71" s="129">
        <f t="shared" si="5"/>
        <v>4.9379055381540127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>
      <c r="A86" s="18"/>
      <c r="B86" s="101"/>
      <c r="C86" s="10"/>
      <c r="D86" s="101"/>
      <c r="E86" s="101"/>
    </row>
    <row r="87" spans="1:8">
      <c r="A87" s="18"/>
      <c r="B87" s="101"/>
      <c r="C87" s="101"/>
      <c r="D87" s="101"/>
      <c r="E87" s="101"/>
    </row>
    <row r="88" spans="1:8">
      <c r="A88" s="61"/>
      <c r="B88" s="101"/>
      <c r="C88" s="101"/>
      <c r="D88" s="101"/>
      <c r="E88" s="101"/>
    </row>
    <row r="89" spans="1:8">
      <c r="A89" s="64"/>
      <c r="B89" s="45"/>
      <c r="C89" s="45"/>
      <c r="D89" s="101"/>
      <c r="E89" s="101"/>
    </row>
    <row r="90" spans="1:8">
      <c r="A90" s="64"/>
      <c r="B90" s="45"/>
      <c r="C90" s="45"/>
      <c r="D90" s="101"/>
      <c r="E90" s="101"/>
    </row>
    <row r="91" spans="1:8">
      <c r="A91" s="64"/>
      <c r="B91" s="45"/>
      <c r="C91" s="45"/>
      <c r="D91" s="101"/>
      <c r="E91" s="101"/>
    </row>
    <row r="92" spans="1:8">
      <c r="A92" s="64"/>
      <c r="B92" s="45"/>
      <c r="C92" s="45"/>
      <c r="D92" s="101"/>
      <c r="E92" s="101"/>
    </row>
    <row r="93" spans="1:8">
      <c r="A93" s="64"/>
      <c r="B93" s="45"/>
      <c r="C93" s="45"/>
      <c r="D93" s="101"/>
      <c r="E93" s="101"/>
    </row>
    <row r="94" spans="1:8">
      <c r="A94" s="91"/>
      <c r="B94" s="101"/>
      <c r="C94" s="59"/>
      <c r="D94" s="101"/>
      <c r="E94" s="101"/>
    </row>
    <row r="95" spans="1:8">
      <c r="A95" s="7"/>
      <c r="B95" s="101"/>
      <c r="C95" s="18"/>
      <c r="D95" s="101"/>
      <c r="E95" s="101"/>
    </row>
    <row r="96" spans="1:8">
      <c r="B96" s="101"/>
      <c r="C96" s="18"/>
      <c r="D96" s="101"/>
      <c r="E96" s="101"/>
    </row>
    <row r="97" spans="1:5">
      <c r="B97" s="101"/>
      <c r="C97" s="18"/>
      <c r="D97" s="101"/>
      <c r="E97" s="101"/>
    </row>
    <row r="98" spans="1:5">
      <c r="B98" s="101"/>
      <c r="C98" s="18"/>
      <c r="D98" s="101"/>
      <c r="E98" s="101"/>
    </row>
    <row r="99" spans="1:5">
      <c r="A99" s="61"/>
      <c r="B99" s="101"/>
      <c r="C99" s="101"/>
      <c r="D99" s="101"/>
      <c r="E99" s="101"/>
    </row>
    <row r="100" spans="1:5">
      <c r="A100" s="61"/>
      <c r="B100" s="101"/>
      <c r="C100" s="101"/>
      <c r="D100" s="101"/>
      <c r="E100" s="101"/>
    </row>
  </sheetData>
  <mergeCells count="9">
    <mergeCell ref="A73:E73"/>
    <mergeCell ref="A28:A29"/>
    <mergeCell ref="A51:A52"/>
    <mergeCell ref="A5:A6"/>
    <mergeCell ref="B5:B6"/>
    <mergeCell ref="C5:I5"/>
    <mergeCell ref="B28:B29"/>
    <mergeCell ref="C28:I28"/>
    <mergeCell ref="B51:C52"/>
  </mergeCells>
  <hyperlinks>
    <hyperlink ref="K2" location="Índice!A1" display="Índice"/>
    <hyperlink ref="K3" location="'Cuadro 11-Veraguas'!A27" display="Composición "/>
    <hyperlink ref="K4" location="'Cuadro 11-Veraguas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5" max="8" man="1"/>
    <brk id="48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O40"/>
  <sheetViews>
    <sheetView zoomScaleNormal="100" zoomScaleSheetLayoutView="62" workbookViewId="0"/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89"/>
    <col min="15" max="241" width="11" style="1"/>
    <col min="242" max="242" width="17" style="1" customWidth="1"/>
    <col min="243" max="243" width="48.28515625" style="1" customWidth="1"/>
    <col min="244" max="250" width="13.5703125" style="1" customWidth="1"/>
    <col min="251" max="251" width="15.42578125" style="1" customWidth="1"/>
    <col min="252" max="254" width="13.5703125" style="1" customWidth="1"/>
    <col min="255" max="497" width="11" style="1"/>
    <col min="498" max="498" width="17" style="1" customWidth="1"/>
    <col min="499" max="499" width="48.28515625" style="1" customWidth="1"/>
    <col min="500" max="506" width="13.5703125" style="1" customWidth="1"/>
    <col min="507" max="507" width="15.42578125" style="1" customWidth="1"/>
    <col min="508" max="510" width="13.5703125" style="1" customWidth="1"/>
    <col min="511" max="753" width="11" style="1"/>
    <col min="754" max="754" width="17" style="1" customWidth="1"/>
    <col min="755" max="755" width="48.28515625" style="1" customWidth="1"/>
    <col min="756" max="762" width="13.5703125" style="1" customWidth="1"/>
    <col min="763" max="763" width="15.42578125" style="1" customWidth="1"/>
    <col min="764" max="766" width="13.5703125" style="1" customWidth="1"/>
    <col min="767" max="1009" width="11" style="1"/>
    <col min="1010" max="1010" width="17" style="1" customWidth="1"/>
    <col min="1011" max="1011" width="48.28515625" style="1" customWidth="1"/>
    <col min="1012" max="1018" width="13.5703125" style="1" customWidth="1"/>
    <col min="1019" max="1019" width="15.42578125" style="1" customWidth="1"/>
    <col min="1020" max="1022" width="13.5703125" style="1" customWidth="1"/>
    <col min="1023" max="1265" width="11" style="1"/>
    <col min="1266" max="1266" width="17" style="1" customWidth="1"/>
    <col min="1267" max="1267" width="48.28515625" style="1" customWidth="1"/>
    <col min="1268" max="1274" width="13.5703125" style="1" customWidth="1"/>
    <col min="1275" max="1275" width="15.42578125" style="1" customWidth="1"/>
    <col min="1276" max="1278" width="13.5703125" style="1" customWidth="1"/>
    <col min="1279" max="1521" width="11" style="1"/>
    <col min="1522" max="1522" width="17" style="1" customWidth="1"/>
    <col min="1523" max="1523" width="48.28515625" style="1" customWidth="1"/>
    <col min="1524" max="1530" width="13.5703125" style="1" customWidth="1"/>
    <col min="1531" max="1531" width="15.42578125" style="1" customWidth="1"/>
    <col min="1532" max="1534" width="13.5703125" style="1" customWidth="1"/>
    <col min="1535" max="1777" width="11" style="1"/>
    <col min="1778" max="1778" width="17" style="1" customWidth="1"/>
    <col min="1779" max="1779" width="48.28515625" style="1" customWidth="1"/>
    <col min="1780" max="1786" width="13.5703125" style="1" customWidth="1"/>
    <col min="1787" max="1787" width="15.42578125" style="1" customWidth="1"/>
    <col min="1788" max="1790" width="13.5703125" style="1" customWidth="1"/>
    <col min="1791" max="2033" width="11" style="1"/>
    <col min="2034" max="2034" width="17" style="1" customWidth="1"/>
    <col min="2035" max="2035" width="48.28515625" style="1" customWidth="1"/>
    <col min="2036" max="2042" width="13.5703125" style="1" customWidth="1"/>
    <col min="2043" max="2043" width="15.42578125" style="1" customWidth="1"/>
    <col min="2044" max="2046" width="13.5703125" style="1" customWidth="1"/>
    <col min="2047" max="2289" width="11" style="1"/>
    <col min="2290" max="2290" width="17" style="1" customWidth="1"/>
    <col min="2291" max="2291" width="48.28515625" style="1" customWidth="1"/>
    <col min="2292" max="2298" width="13.5703125" style="1" customWidth="1"/>
    <col min="2299" max="2299" width="15.42578125" style="1" customWidth="1"/>
    <col min="2300" max="2302" width="13.5703125" style="1" customWidth="1"/>
    <col min="2303" max="2545" width="11" style="1"/>
    <col min="2546" max="2546" width="17" style="1" customWidth="1"/>
    <col min="2547" max="2547" width="48.28515625" style="1" customWidth="1"/>
    <col min="2548" max="2554" width="13.5703125" style="1" customWidth="1"/>
    <col min="2555" max="2555" width="15.42578125" style="1" customWidth="1"/>
    <col min="2556" max="2558" width="13.5703125" style="1" customWidth="1"/>
    <col min="2559" max="2801" width="11" style="1"/>
    <col min="2802" max="2802" width="17" style="1" customWidth="1"/>
    <col min="2803" max="2803" width="48.28515625" style="1" customWidth="1"/>
    <col min="2804" max="2810" width="13.5703125" style="1" customWidth="1"/>
    <col min="2811" max="2811" width="15.42578125" style="1" customWidth="1"/>
    <col min="2812" max="2814" width="13.5703125" style="1" customWidth="1"/>
    <col min="2815" max="3057" width="11" style="1"/>
    <col min="3058" max="3058" width="17" style="1" customWidth="1"/>
    <col min="3059" max="3059" width="48.28515625" style="1" customWidth="1"/>
    <col min="3060" max="3066" width="13.5703125" style="1" customWidth="1"/>
    <col min="3067" max="3067" width="15.42578125" style="1" customWidth="1"/>
    <col min="3068" max="3070" width="13.5703125" style="1" customWidth="1"/>
    <col min="3071" max="3313" width="11" style="1"/>
    <col min="3314" max="3314" width="17" style="1" customWidth="1"/>
    <col min="3315" max="3315" width="48.28515625" style="1" customWidth="1"/>
    <col min="3316" max="3322" width="13.5703125" style="1" customWidth="1"/>
    <col min="3323" max="3323" width="15.42578125" style="1" customWidth="1"/>
    <col min="3324" max="3326" width="13.5703125" style="1" customWidth="1"/>
    <col min="3327" max="3569" width="11" style="1"/>
    <col min="3570" max="3570" width="17" style="1" customWidth="1"/>
    <col min="3571" max="3571" width="48.28515625" style="1" customWidth="1"/>
    <col min="3572" max="3578" width="13.5703125" style="1" customWidth="1"/>
    <col min="3579" max="3579" width="15.42578125" style="1" customWidth="1"/>
    <col min="3580" max="3582" width="13.5703125" style="1" customWidth="1"/>
    <col min="3583" max="3825" width="11" style="1"/>
    <col min="3826" max="3826" width="17" style="1" customWidth="1"/>
    <col min="3827" max="3827" width="48.28515625" style="1" customWidth="1"/>
    <col min="3828" max="3834" width="13.5703125" style="1" customWidth="1"/>
    <col min="3835" max="3835" width="15.42578125" style="1" customWidth="1"/>
    <col min="3836" max="3838" width="13.5703125" style="1" customWidth="1"/>
    <col min="3839" max="4081" width="11" style="1"/>
    <col min="4082" max="4082" width="17" style="1" customWidth="1"/>
    <col min="4083" max="4083" width="48.28515625" style="1" customWidth="1"/>
    <col min="4084" max="4090" width="13.5703125" style="1" customWidth="1"/>
    <col min="4091" max="4091" width="15.42578125" style="1" customWidth="1"/>
    <col min="4092" max="4094" width="13.5703125" style="1" customWidth="1"/>
    <col min="4095" max="4337" width="11" style="1"/>
    <col min="4338" max="4338" width="17" style="1" customWidth="1"/>
    <col min="4339" max="4339" width="48.28515625" style="1" customWidth="1"/>
    <col min="4340" max="4346" width="13.5703125" style="1" customWidth="1"/>
    <col min="4347" max="4347" width="15.42578125" style="1" customWidth="1"/>
    <col min="4348" max="4350" width="13.5703125" style="1" customWidth="1"/>
    <col min="4351" max="4593" width="11" style="1"/>
    <col min="4594" max="4594" width="17" style="1" customWidth="1"/>
    <col min="4595" max="4595" width="48.28515625" style="1" customWidth="1"/>
    <col min="4596" max="4602" width="13.5703125" style="1" customWidth="1"/>
    <col min="4603" max="4603" width="15.42578125" style="1" customWidth="1"/>
    <col min="4604" max="4606" width="13.5703125" style="1" customWidth="1"/>
    <col min="4607" max="4849" width="11" style="1"/>
    <col min="4850" max="4850" width="17" style="1" customWidth="1"/>
    <col min="4851" max="4851" width="48.28515625" style="1" customWidth="1"/>
    <col min="4852" max="4858" width="13.5703125" style="1" customWidth="1"/>
    <col min="4859" max="4859" width="15.42578125" style="1" customWidth="1"/>
    <col min="4860" max="4862" width="13.5703125" style="1" customWidth="1"/>
    <col min="4863" max="5105" width="11" style="1"/>
    <col min="5106" max="5106" width="17" style="1" customWidth="1"/>
    <col min="5107" max="5107" width="48.28515625" style="1" customWidth="1"/>
    <col min="5108" max="5114" width="13.5703125" style="1" customWidth="1"/>
    <col min="5115" max="5115" width="15.42578125" style="1" customWidth="1"/>
    <col min="5116" max="5118" width="13.5703125" style="1" customWidth="1"/>
    <col min="5119" max="5361" width="11" style="1"/>
    <col min="5362" max="5362" width="17" style="1" customWidth="1"/>
    <col min="5363" max="5363" width="48.28515625" style="1" customWidth="1"/>
    <col min="5364" max="5370" width="13.5703125" style="1" customWidth="1"/>
    <col min="5371" max="5371" width="15.42578125" style="1" customWidth="1"/>
    <col min="5372" max="5374" width="13.5703125" style="1" customWidth="1"/>
    <col min="5375" max="5617" width="11" style="1"/>
    <col min="5618" max="5618" width="17" style="1" customWidth="1"/>
    <col min="5619" max="5619" width="48.28515625" style="1" customWidth="1"/>
    <col min="5620" max="5626" width="13.5703125" style="1" customWidth="1"/>
    <col min="5627" max="5627" width="15.42578125" style="1" customWidth="1"/>
    <col min="5628" max="5630" width="13.5703125" style="1" customWidth="1"/>
    <col min="5631" max="5873" width="11" style="1"/>
    <col min="5874" max="5874" width="17" style="1" customWidth="1"/>
    <col min="5875" max="5875" width="48.28515625" style="1" customWidth="1"/>
    <col min="5876" max="5882" width="13.5703125" style="1" customWidth="1"/>
    <col min="5883" max="5883" width="15.42578125" style="1" customWidth="1"/>
    <col min="5884" max="5886" width="13.5703125" style="1" customWidth="1"/>
    <col min="5887" max="6129" width="11" style="1"/>
    <col min="6130" max="6130" width="17" style="1" customWidth="1"/>
    <col min="6131" max="6131" width="48.28515625" style="1" customWidth="1"/>
    <col min="6132" max="6138" width="13.5703125" style="1" customWidth="1"/>
    <col min="6139" max="6139" width="15.42578125" style="1" customWidth="1"/>
    <col min="6140" max="6142" width="13.5703125" style="1" customWidth="1"/>
    <col min="6143" max="6385" width="11" style="1"/>
    <col min="6386" max="6386" width="17" style="1" customWidth="1"/>
    <col min="6387" max="6387" width="48.28515625" style="1" customWidth="1"/>
    <col min="6388" max="6394" width="13.5703125" style="1" customWidth="1"/>
    <col min="6395" max="6395" width="15.42578125" style="1" customWidth="1"/>
    <col min="6396" max="6398" width="13.5703125" style="1" customWidth="1"/>
    <col min="6399" max="6641" width="11" style="1"/>
    <col min="6642" max="6642" width="17" style="1" customWidth="1"/>
    <col min="6643" max="6643" width="48.28515625" style="1" customWidth="1"/>
    <col min="6644" max="6650" width="13.5703125" style="1" customWidth="1"/>
    <col min="6651" max="6651" width="15.42578125" style="1" customWidth="1"/>
    <col min="6652" max="6654" width="13.5703125" style="1" customWidth="1"/>
    <col min="6655" max="6897" width="11" style="1"/>
    <col min="6898" max="6898" width="17" style="1" customWidth="1"/>
    <col min="6899" max="6899" width="48.28515625" style="1" customWidth="1"/>
    <col min="6900" max="6906" width="13.5703125" style="1" customWidth="1"/>
    <col min="6907" max="6907" width="15.42578125" style="1" customWidth="1"/>
    <col min="6908" max="6910" width="13.5703125" style="1" customWidth="1"/>
    <col min="6911" max="7153" width="11" style="1"/>
    <col min="7154" max="7154" width="17" style="1" customWidth="1"/>
    <col min="7155" max="7155" width="48.28515625" style="1" customWidth="1"/>
    <col min="7156" max="7162" width="13.5703125" style="1" customWidth="1"/>
    <col min="7163" max="7163" width="15.42578125" style="1" customWidth="1"/>
    <col min="7164" max="7166" width="13.5703125" style="1" customWidth="1"/>
    <col min="7167" max="7409" width="11" style="1"/>
    <col min="7410" max="7410" width="17" style="1" customWidth="1"/>
    <col min="7411" max="7411" width="48.28515625" style="1" customWidth="1"/>
    <col min="7412" max="7418" width="13.5703125" style="1" customWidth="1"/>
    <col min="7419" max="7419" width="15.42578125" style="1" customWidth="1"/>
    <col min="7420" max="7422" width="13.5703125" style="1" customWidth="1"/>
    <col min="7423" max="7665" width="11" style="1"/>
    <col min="7666" max="7666" width="17" style="1" customWidth="1"/>
    <col min="7667" max="7667" width="48.28515625" style="1" customWidth="1"/>
    <col min="7668" max="7674" width="13.5703125" style="1" customWidth="1"/>
    <col min="7675" max="7675" width="15.42578125" style="1" customWidth="1"/>
    <col min="7676" max="7678" width="13.5703125" style="1" customWidth="1"/>
    <col min="7679" max="7921" width="11" style="1"/>
    <col min="7922" max="7922" width="17" style="1" customWidth="1"/>
    <col min="7923" max="7923" width="48.28515625" style="1" customWidth="1"/>
    <col min="7924" max="7930" width="13.5703125" style="1" customWidth="1"/>
    <col min="7931" max="7931" width="15.42578125" style="1" customWidth="1"/>
    <col min="7932" max="7934" width="13.5703125" style="1" customWidth="1"/>
    <col min="7935" max="8177" width="11" style="1"/>
    <col min="8178" max="8178" width="17" style="1" customWidth="1"/>
    <col min="8179" max="8179" width="48.28515625" style="1" customWidth="1"/>
    <col min="8180" max="8186" width="13.5703125" style="1" customWidth="1"/>
    <col min="8187" max="8187" width="15.42578125" style="1" customWidth="1"/>
    <col min="8188" max="8190" width="13.5703125" style="1" customWidth="1"/>
    <col min="8191" max="8433" width="11" style="1"/>
    <col min="8434" max="8434" width="17" style="1" customWidth="1"/>
    <col min="8435" max="8435" width="48.28515625" style="1" customWidth="1"/>
    <col min="8436" max="8442" width="13.5703125" style="1" customWidth="1"/>
    <col min="8443" max="8443" width="15.42578125" style="1" customWidth="1"/>
    <col min="8444" max="8446" width="13.5703125" style="1" customWidth="1"/>
    <col min="8447" max="8689" width="11" style="1"/>
    <col min="8690" max="8690" width="17" style="1" customWidth="1"/>
    <col min="8691" max="8691" width="48.28515625" style="1" customWidth="1"/>
    <col min="8692" max="8698" width="13.5703125" style="1" customWidth="1"/>
    <col min="8699" max="8699" width="15.42578125" style="1" customWidth="1"/>
    <col min="8700" max="8702" width="13.5703125" style="1" customWidth="1"/>
    <col min="8703" max="8945" width="11" style="1"/>
    <col min="8946" max="8946" width="17" style="1" customWidth="1"/>
    <col min="8947" max="8947" width="48.28515625" style="1" customWidth="1"/>
    <col min="8948" max="8954" width="13.5703125" style="1" customWidth="1"/>
    <col min="8955" max="8955" width="15.42578125" style="1" customWidth="1"/>
    <col min="8956" max="8958" width="13.5703125" style="1" customWidth="1"/>
    <col min="8959" max="9201" width="11" style="1"/>
    <col min="9202" max="9202" width="17" style="1" customWidth="1"/>
    <col min="9203" max="9203" width="48.28515625" style="1" customWidth="1"/>
    <col min="9204" max="9210" width="13.5703125" style="1" customWidth="1"/>
    <col min="9211" max="9211" width="15.42578125" style="1" customWidth="1"/>
    <col min="9212" max="9214" width="13.5703125" style="1" customWidth="1"/>
    <col min="9215" max="9457" width="11" style="1"/>
    <col min="9458" max="9458" width="17" style="1" customWidth="1"/>
    <col min="9459" max="9459" width="48.28515625" style="1" customWidth="1"/>
    <col min="9460" max="9466" width="13.5703125" style="1" customWidth="1"/>
    <col min="9467" max="9467" width="15.42578125" style="1" customWidth="1"/>
    <col min="9468" max="9470" width="13.5703125" style="1" customWidth="1"/>
    <col min="9471" max="9713" width="11" style="1"/>
    <col min="9714" max="9714" width="17" style="1" customWidth="1"/>
    <col min="9715" max="9715" width="48.28515625" style="1" customWidth="1"/>
    <col min="9716" max="9722" width="13.5703125" style="1" customWidth="1"/>
    <col min="9723" max="9723" width="15.42578125" style="1" customWidth="1"/>
    <col min="9724" max="9726" width="13.5703125" style="1" customWidth="1"/>
    <col min="9727" max="9969" width="11" style="1"/>
    <col min="9970" max="9970" width="17" style="1" customWidth="1"/>
    <col min="9971" max="9971" width="48.28515625" style="1" customWidth="1"/>
    <col min="9972" max="9978" width="13.5703125" style="1" customWidth="1"/>
    <col min="9979" max="9979" width="15.42578125" style="1" customWidth="1"/>
    <col min="9980" max="9982" width="13.5703125" style="1" customWidth="1"/>
    <col min="9983" max="10225" width="11" style="1"/>
    <col min="10226" max="10226" width="17" style="1" customWidth="1"/>
    <col min="10227" max="10227" width="48.28515625" style="1" customWidth="1"/>
    <col min="10228" max="10234" width="13.5703125" style="1" customWidth="1"/>
    <col min="10235" max="10235" width="15.42578125" style="1" customWidth="1"/>
    <col min="10236" max="10238" width="13.5703125" style="1" customWidth="1"/>
    <col min="10239" max="10481" width="11" style="1"/>
    <col min="10482" max="10482" width="17" style="1" customWidth="1"/>
    <col min="10483" max="10483" width="48.28515625" style="1" customWidth="1"/>
    <col min="10484" max="10490" width="13.5703125" style="1" customWidth="1"/>
    <col min="10491" max="10491" width="15.42578125" style="1" customWidth="1"/>
    <col min="10492" max="10494" width="13.5703125" style="1" customWidth="1"/>
    <col min="10495" max="10737" width="11" style="1"/>
    <col min="10738" max="10738" width="17" style="1" customWidth="1"/>
    <col min="10739" max="10739" width="48.28515625" style="1" customWidth="1"/>
    <col min="10740" max="10746" width="13.5703125" style="1" customWidth="1"/>
    <col min="10747" max="10747" width="15.42578125" style="1" customWidth="1"/>
    <col min="10748" max="10750" width="13.5703125" style="1" customWidth="1"/>
    <col min="10751" max="10993" width="11" style="1"/>
    <col min="10994" max="10994" width="17" style="1" customWidth="1"/>
    <col min="10995" max="10995" width="48.28515625" style="1" customWidth="1"/>
    <col min="10996" max="11002" width="13.5703125" style="1" customWidth="1"/>
    <col min="11003" max="11003" width="15.42578125" style="1" customWidth="1"/>
    <col min="11004" max="11006" width="13.5703125" style="1" customWidth="1"/>
    <col min="11007" max="11249" width="11" style="1"/>
    <col min="11250" max="11250" width="17" style="1" customWidth="1"/>
    <col min="11251" max="11251" width="48.28515625" style="1" customWidth="1"/>
    <col min="11252" max="11258" width="13.5703125" style="1" customWidth="1"/>
    <col min="11259" max="11259" width="15.42578125" style="1" customWidth="1"/>
    <col min="11260" max="11262" width="13.5703125" style="1" customWidth="1"/>
    <col min="11263" max="11505" width="11" style="1"/>
    <col min="11506" max="11506" width="17" style="1" customWidth="1"/>
    <col min="11507" max="11507" width="48.28515625" style="1" customWidth="1"/>
    <col min="11508" max="11514" width="13.5703125" style="1" customWidth="1"/>
    <col min="11515" max="11515" width="15.42578125" style="1" customWidth="1"/>
    <col min="11516" max="11518" width="13.5703125" style="1" customWidth="1"/>
    <col min="11519" max="11761" width="11" style="1"/>
    <col min="11762" max="11762" width="17" style="1" customWidth="1"/>
    <col min="11763" max="11763" width="48.28515625" style="1" customWidth="1"/>
    <col min="11764" max="11770" width="13.5703125" style="1" customWidth="1"/>
    <col min="11771" max="11771" width="15.42578125" style="1" customWidth="1"/>
    <col min="11772" max="11774" width="13.5703125" style="1" customWidth="1"/>
    <col min="11775" max="12017" width="11" style="1"/>
    <col min="12018" max="12018" width="17" style="1" customWidth="1"/>
    <col min="12019" max="12019" width="48.28515625" style="1" customWidth="1"/>
    <col min="12020" max="12026" width="13.5703125" style="1" customWidth="1"/>
    <col min="12027" max="12027" width="15.42578125" style="1" customWidth="1"/>
    <col min="12028" max="12030" width="13.5703125" style="1" customWidth="1"/>
    <col min="12031" max="12273" width="11" style="1"/>
    <col min="12274" max="12274" width="17" style="1" customWidth="1"/>
    <col min="12275" max="12275" width="48.28515625" style="1" customWidth="1"/>
    <col min="12276" max="12282" width="13.5703125" style="1" customWidth="1"/>
    <col min="12283" max="12283" width="15.42578125" style="1" customWidth="1"/>
    <col min="12284" max="12286" width="13.5703125" style="1" customWidth="1"/>
    <col min="12287" max="12529" width="11" style="1"/>
    <col min="12530" max="12530" width="17" style="1" customWidth="1"/>
    <col min="12531" max="12531" width="48.28515625" style="1" customWidth="1"/>
    <col min="12532" max="12538" width="13.5703125" style="1" customWidth="1"/>
    <col min="12539" max="12539" width="15.42578125" style="1" customWidth="1"/>
    <col min="12540" max="12542" width="13.5703125" style="1" customWidth="1"/>
    <col min="12543" max="12785" width="11" style="1"/>
    <col min="12786" max="12786" width="17" style="1" customWidth="1"/>
    <col min="12787" max="12787" width="48.28515625" style="1" customWidth="1"/>
    <col min="12788" max="12794" width="13.5703125" style="1" customWidth="1"/>
    <col min="12795" max="12795" width="15.42578125" style="1" customWidth="1"/>
    <col min="12796" max="12798" width="13.5703125" style="1" customWidth="1"/>
    <col min="12799" max="13041" width="11" style="1"/>
    <col min="13042" max="13042" width="17" style="1" customWidth="1"/>
    <col min="13043" max="13043" width="48.28515625" style="1" customWidth="1"/>
    <col min="13044" max="13050" width="13.5703125" style="1" customWidth="1"/>
    <col min="13051" max="13051" width="15.42578125" style="1" customWidth="1"/>
    <col min="13052" max="13054" width="13.5703125" style="1" customWidth="1"/>
    <col min="13055" max="13297" width="11" style="1"/>
    <col min="13298" max="13298" width="17" style="1" customWidth="1"/>
    <col min="13299" max="13299" width="48.28515625" style="1" customWidth="1"/>
    <col min="13300" max="13306" width="13.5703125" style="1" customWidth="1"/>
    <col min="13307" max="13307" width="15.42578125" style="1" customWidth="1"/>
    <col min="13308" max="13310" width="13.5703125" style="1" customWidth="1"/>
    <col min="13311" max="13553" width="11" style="1"/>
    <col min="13554" max="13554" width="17" style="1" customWidth="1"/>
    <col min="13555" max="13555" width="48.28515625" style="1" customWidth="1"/>
    <col min="13556" max="13562" width="13.5703125" style="1" customWidth="1"/>
    <col min="13563" max="13563" width="15.42578125" style="1" customWidth="1"/>
    <col min="13564" max="13566" width="13.5703125" style="1" customWidth="1"/>
    <col min="13567" max="13809" width="11" style="1"/>
    <col min="13810" max="13810" width="17" style="1" customWidth="1"/>
    <col min="13811" max="13811" width="48.28515625" style="1" customWidth="1"/>
    <col min="13812" max="13818" width="13.5703125" style="1" customWidth="1"/>
    <col min="13819" max="13819" width="15.42578125" style="1" customWidth="1"/>
    <col min="13820" max="13822" width="13.5703125" style="1" customWidth="1"/>
    <col min="13823" max="14065" width="11" style="1"/>
    <col min="14066" max="14066" width="17" style="1" customWidth="1"/>
    <col min="14067" max="14067" width="48.28515625" style="1" customWidth="1"/>
    <col min="14068" max="14074" width="13.5703125" style="1" customWidth="1"/>
    <col min="14075" max="14075" width="15.42578125" style="1" customWidth="1"/>
    <col min="14076" max="14078" width="13.5703125" style="1" customWidth="1"/>
    <col min="14079" max="14321" width="11" style="1"/>
    <col min="14322" max="14322" width="17" style="1" customWidth="1"/>
    <col min="14323" max="14323" width="48.28515625" style="1" customWidth="1"/>
    <col min="14324" max="14330" width="13.5703125" style="1" customWidth="1"/>
    <col min="14331" max="14331" width="15.42578125" style="1" customWidth="1"/>
    <col min="14332" max="14334" width="13.5703125" style="1" customWidth="1"/>
    <col min="14335" max="14577" width="11" style="1"/>
    <col min="14578" max="14578" width="17" style="1" customWidth="1"/>
    <col min="14579" max="14579" width="48.28515625" style="1" customWidth="1"/>
    <col min="14580" max="14586" width="13.5703125" style="1" customWidth="1"/>
    <col min="14587" max="14587" width="15.42578125" style="1" customWidth="1"/>
    <col min="14588" max="14590" width="13.5703125" style="1" customWidth="1"/>
    <col min="14591" max="14833" width="11" style="1"/>
    <col min="14834" max="14834" width="17" style="1" customWidth="1"/>
    <col min="14835" max="14835" width="48.28515625" style="1" customWidth="1"/>
    <col min="14836" max="14842" width="13.5703125" style="1" customWidth="1"/>
    <col min="14843" max="14843" width="15.42578125" style="1" customWidth="1"/>
    <col min="14844" max="14846" width="13.5703125" style="1" customWidth="1"/>
    <col min="14847" max="15089" width="11" style="1"/>
    <col min="15090" max="15090" width="17" style="1" customWidth="1"/>
    <col min="15091" max="15091" width="48.28515625" style="1" customWidth="1"/>
    <col min="15092" max="15098" width="13.5703125" style="1" customWidth="1"/>
    <col min="15099" max="15099" width="15.42578125" style="1" customWidth="1"/>
    <col min="15100" max="15102" width="13.5703125" style="1" customWidth="1"/>
    <col min="15103" max="15345" width="11" style="1"/>
    <col min="15346" max="15346" width="17" style="1" customWidth="1"/>
    <col min="15347" max="15347" width="48.28515625" style="1" customWidth="1"/>
    <col min="15348" max="15354" width="13.5703125" style="1" customWidth="1"/>
    <col min="15355" max="15355" width="15.42578125" style="1" customWidth="1"/>
    <col min="15356" max="15358" width="13.5703125" style="1" customWidth="1"/>
    <col min="15359" max="15601" width="11" style="1"/>
    <col min="15602" max="15602" width="17" style="1" customWidth="1"/>
    <col min="15603" max="15603" width="48.28515625" style="1" customWidth="1"/>
    <col min="15604" max="15610" width="13.5703125" style="1" customWidth="1"/>
    <col min="15611" max="15611" width="15.42578125" style="1" customWidth="1"/>
    <col min="15612" max="15614" width="13.5703125" style="1" customWidth="1"/>
    <col min="15615" max="15857" width="11" style="1"/>
    <col min="15858" max="15858" width="17" style="1" customWidth="1"/>
    <col min="15859" max="15859" width="48.28515625" style="1" customWidth="1"/>
    <col min="15860" max="15866" width="13.5703125" style="1" customWidth="1"/>
    <col min="15867" max="15867" width="15.42578125" style="1" customWidth="1"/>
    <col min="15868" max="15870" width="13.5703125" style="1" customWidth="1"/>
    <col min="15871" max="16113" width="11" style="1"/>
    <col min="16114" max="16114" width="17" style="1" customWidth="1"/>
    <col min="16115" max="16115" width="48.28515625" style="1" customWidth="1"/>
    <col min="16116" max="16122" width="13.5703125" style="1" customWidth="1"/>
    <col min="16123" max="16123" width="15.42578125" style="1" customWidth="1"/>
    <col min="16124" max="16126" width="13.5703125" style="1" customWidth="1"/>
    <col min="16127" max="16384" width="11" style="1"/>
  </cols>
  <sheetData>
    <row r="1" spans="1:15" ht="17.25" customHeight="1">
      <c r="A1" s="42" t="s">
        <v>175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5" ht="17.25" customHeight="1">
      <c r="A2" s="191" t="s">
        <v>176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5" s="9" customFormat="1" ht="17.25" customHeight="1">
      <c r="A3" s="185">
        <v>2018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92"/>
    </row>
    <row r="4" spans="1:15" s="7" customFormat="1" ht="17.25" customHeight="1" thickBot="1">
      <c r="A4" s="185" t="s">
        <v>216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12"/>
      <c r="O4" s="9"/>
    </row>
    <row r="5" spans="1:15" s="7" customFormat="1" ht="37.5" customHeight="1" thickTop="1">
      <c r="A5" s="217" t="s">
        <v>29</v>
      </c>
      <c r="B5" s="217" t="s">
        <v>30</v>
      </c>
      <c r="C5" s="219" t="s">
        <v>48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  <c r="N5" s="112"/>
      <c r="O5" s="193" t="s">
        <v>42</v>
      </c>
    </row>
    <row r="6" spans="1:15" s="7" customFormat="1" ht="37.5" customHeight="1" thickBot="1">
      <c r="A6" s="223"/>
      <c r="B6" s="223"/>
      <c r="C6" s="133" t="s">
        <v>49</v>
      </c>
      <c r="D6" s="134" t="s">
        <v>12</v>
      </c>
      <c r="E6" s="133" t="s">
        <v>13</v>
      </c>
      <c r="F6" s="133" t="s">
        <v>14</v>
      </c>
      <c r="G6" s="133" t="s">
        <v>15</v>
      </c>
      <c r="H6" s="134" t="s">
        <v>16</v>
      </c>
      <c r="I6" s="133" t="s">
        <v>17</v>
      </c>
      <c r="J6" s="133" t="s">
        <v>18</v>
      </c>
      <c r="K6" s="133" t="s">
        <v>19</v>
      </c>
      <c r="L6" s="134" t="s">
        <v>24</v>
      </c>
      <c r="M6" s="133" t="s">
        <v>21</v>
      </c>
      <c r="N6" s="58"/>
      <c r="O6" s="1"/>
    </row>
    <row r="7" spans="1:15" ht="32.25" customHeight="1" thickTop="1">
      <c r="A7" s="135" t="s">
        <v>0</v>
      </c>
      <c r="B7" s="136" t="s">
        <v>53</v>
      </c>
      <c r="C7" s="137">
        <f>IFERROR(('Cuadro 2-Bocas del Toro'!C7+'Cuadro 3-Coclé'!C7+'Cuadro 4-Colón'!C7+'Cuadro 5-Chiriquí'!C7+'Cuadro 6-Darién'!C7+'Cuadro 7-Herrera'!C7+'Cuadro 8-Los Santos'!C7+'Cuadro 9-Panamá'!C7+'Cuadro 10-Panamá Oeste'!C7+'Cuadro 11-Veraguas'!C7)/('Cuadro 2-Bocas del Toro'!C7+'Cuadro 3-Coclé'!C7+'Cuadro 4-Colón'!C7+'Cuadro 5-Chiriquí'!C7+'Cuadro 6-Darién'!C7+'Cuadro 7-Herrera'!C7+'Cuadro 8-Los Santos'!C7+'Cuadro 9-Panamá'!C7+'Cuadro 10-Panamá Oeste'!C7+'Cuadro 11-Veraguas'!C7)*100,"")</f>
        <v>100</v>
      </c>
      <c r="D7" s="137">
        <f>IFERROR(('Cuadro 2-Bocas del Toro'!C7)/('Cuadro 2-Bocas del Toro'!C7+'Cuadro 3-Coclé'!C7+'Cuadro 4-Colón'!C7+'Cuadro 5-Chiriquí'!C7+'Cuadro 6-Darién'!C7+'Cuadro 7-Herrera'!C7+'Cuadro 8-Los Santos'!C7+'Cuadro 9-Panamá'!C7+'Cuadro 10-Panamá Oeste'!C7+'Cuadro 11-Veraguas'!C7)*100,"")</f>
        <v>6.6398898329871541</v>
      </c>
      <c r="E7" s="137">
        <f>IFERROR(('Cuadro 3-Coclé'!C7)/('Cuadro 2-Bocas del Toro'!C7+'Cuadro 3-Coclé'!C7+'Cuadro 4-Colón'!C7+'Cuadro 5-Chiriquí'!C7+'Cuadro 6-Darién'!C7+'Cuadro 7-Herrera'!C7+'Cuadro 8-Los Santos'!C7+'Cuadro 9-Panamá'!C7+'Cuadro 10-Panamá Oeste'!C7+'Cuadro 11-Veraguas'!C7)*100,"")</f>
        <v>11.684660431854242</v>
      </c>
      <c r="F7" s="137">
        <f>IFERROR(('Cuadro 4-Colón'!D7)/('Cuadro 2-Bocas del Toro'!D7+'Cuadro 3-Coclé'!D7+'Cuadro 4-Colón'!D7+'Cuadro 5-Chiriquí'!D7+'Cuadro 6-Darién'!D7+'Cuadro 7-Herrera'!D7+'Cuadro 8-Los Santos'!D7+'Cuadro 9-Panamá'!D7+'Cuadro 10-Panamá Oeste'!D7+'Cuadro 11-Veraguas'!D7)*100,"")</f>
        <v>2.5149912440534909</v>
      </c>
      <c r="G7" s="137">
        <f>IFERROR(('Cuadro 5-Chiriquí'!C7)/('Cuadro 2-Bocas del Toro'!C7+'Cuadro 3-Coclé'!C7+'Cuadro 4-Colón'!C7+'Cuadro 5-Chiriquí'!C7+'Cuadro 6-Darién'!C7+'Cuadro 7-Herrera'!C7+'Cuadro 8-Los Santos'!C7+'Cuadro 9-Panamá'!C7+'Cuadro 10-Panamá Oeste'!C7+'Cuadro 11-Veraguas'!C7)*100,"")</f>
        <v>21.269217585469384</v>
      </c>
      <c r="H7" s="137">
        <f>IFERROR(('Cuadro 6-Darién'!C7)/('Cuadro 2-Bocas del Toro'!C7+'Cuadro 3-Coclé'!C7+'Cuadro 4-Colón'!C7+'Cuadro 5-Chiriquí'!C7+'Cuadro 6-Darién'!C7+'Cuadro 7-Herrera'!C7+'Cuadro 8-Los Santos'!C7+'Cuadro 9-Panamá'!C7+'Cuadro 10-Panamá Oeste'!C7+'Cuadro 11-Veraguas'!C7)*100,"")</f>
        <v>5.1305007153837554</v>
      </c>
      <c r="I7" s="137">
        <f>IFERROR(('Cuadro 7-Herrera'!C7)/('Cuadro 2-Bocas del Toro'!C7+'Cuadro 3-Coclé'!C7+'Cuadro 4-Colón'!C7+'Cuadro 5-Chiriquí'!C7+'Cuadro 6-Darién'!C7+'Cuadro 7-Herrera'!C7+'Cuadro 8-Los Santos'!C7+'Cuadro 9-Panamá'!C7+'Cuadro 10-Panamá Oeste'!C7+'Cuadro 11-Veraguas'!C7)*100,"")</f>
        <v>4.7373122415554132</v>
      </c>
      <c r="J7" s="137">
        <f>IFERROR(('Cuadro 8-Los Santos'!C7)/('Cuadro 2-Bocas del Toro'!C7+'Cuadro 3-Coclé'!C7+'Cuadro 4-Colón'!C7+'Cuadro 5-Chiriquí'!C7+'Cuadro 6-Darién'!C7+'Cuadro 7-Herrera'!C7+'Cuadro 8-Los Santos'!C7+'Cuadro 9-Panamá'!C7+'Cuadro 10-Panamá Oeste'!C7+'Cuadro 11-Veraguas'!C7)*100,"")</f>
        <v>10.624669472235059</v>
      </c>
      <c r="K7" s="137">
        <f>IFERROR(('Cuadro 9-Panamá'!C7)/('Cuadro 2-Bocas del Toro'!C7+'Cuadro 3-Coclé'!C7+'Cuadro 4-Colón'!C7+'Cuadro 5-Chiriquí'!C7+'Cuadro 6-Darién'!C7+'Cuadro 7-Herrera'!C7+'Cuadro 8-Los Santos'!C7+'Cuadro 9-Panamá'!C7+'Cuadro 10-Panamá Oeste'!C7+'Cuadro 11-Veraguas'!C7)*100,"")</f>
        <v>8.65951014260175</v>
      </c>
      <c r="L7" s="138">
        <f>IFERROR(('Cuadro 10-Panamá Oeste'!C7)/('Cuadro 2-Bocas del Toro'!C7+'Cuadro 3-Coclé'!C7+'Cuadro 4-Colón'!C7+'Cuadro 5-Chiriquí'!C7+'Cuadro 6-Darién'!C7+'Cuadro 7-Herrera'!C7+'Cuadro 8-Los Santos'!C7+'Cuadro 9-Panamá'!C7+'Cuadro 10-Panamá Oeste'!C7+'Cuadro 11-Veraguas'!C7)*100,"")</f>
        <v>18.687692743437843</v>
      </c>
      <c r="M7" s="139">
        <f>IFERROR(('Cuadro 11-Veraguas'!C7)/('Cuadro 2-Bocas del Toro'!C7+'Cuadro 3-Coclé'!C7+'Cuadro 4-Colón'!C7+'Cuadro 5-Chiriquí'!C7+'Cuadro 6-Darién'!C7+'Cuadro 7-Herrera'!C7+'Cuadro 8-Los Santos'!C7+'Cuadro 9-Panamá'!C7+'Cuadro 10-Panamá Oeste'!C7+'Cuadro 11-Veraguas'!C7)*100,"")</f>
        <v>9.9951437949159789</v>
      </c>
      <c r="N7" s="58"/>
    </row>
    <row r="8" spans="1:15" ht="32.25" customHeight="1">
      <c r="A8" s="56" t="s">
        <v>1</v>
      </c>
      <c r="B8" s="60" t="s">
        <v>31</v>
      </c>
      <c r="C8" s="14">
        <f>IFERROR(('Cuadro 2-Bocas del Toro'!C8+'Cuadro 3-Coclé'!C8+'Cuadro 4-Colón'!C8+'Cuadro 5-Chiriquí'!C8+'Cuadro 6-Darién'!C8+'Cuadro 7-Herrera'!C8+'Cuadro 8-Los Santos'!C8+'Cuadro 9-Panamá'!C8+'Cuadro 10-Panamá Oeste'!C8+'Cuadro 11-Veraguas'!C8)/('Cuadro 2-Bocas del Toro'!C8+'Cuadro 3-Coclé'!C8+'Cuadro 4-Colón'!C8+'Cuadro 5-Chiriquí'!C8+'Cuadro 6-Darién'!C8+'Cuadro 7-Herrera'!C8+'Cuadro 8-Los Santos'!C8+'Cuadro 9-Panamá'!C8+'Cuadro 10-Panamá Oeste'!C8+'Cuadro 11-Veraguas'!C8)*100,"")</f>
        <v>100</v>
      </c>
      <c r="D8" s="14">
        <f>IFERROR(('Cuadro 2-Bocas del Toro'!C8)/('Cuadro 2-Bocas del Toro'!C8+'Cuadro 3-Coclé'!C8+'Cuadro 4-Colón'!C8+'Cuadro 5-Chiriquí'!C8+'Cuadro 6-Darién'!C8+'Cuadro 7-Herrera'!C8+'Cuadro 8-Los Santos'!C8+'Cuadro 9-Panamá'!C8+'Cuadro 10-Panamá Oeste'!C8+'Cuadro 11-Veraguas'!C8)*100,"")</f>
        <v>0.37287568959414374</v>
      </c>
      <c r="E8" s="14">
        <f>IFERROR(('Cuadro 3-Coclé'!C8)/('Cuadro 2-Bocas del Toro'!C8+'Cuadro 3-Coclé'!C8+'Cuadro 4-Colón'!C8+'Cuadro 5-Chiriquí'!C8+'Cuadro 6-Darién'!C8+'Cuadro 7-Herrera'!C8+'Cuadro 8-Los Santos'!C8+'Cuadro 9-Panamá'!C8+'Cuadro 10-Panamá Oeste'!C8+'Cuadro 11-Veraguas'!C8)*100,"")</f>
        <v>3.7258980801066239</v>
      </c>
      <c r="F8" s="14">
        <f>IFERROR(('Cuadro 4-Colón'!D8)/('Cuadro 2-Bocas del Toro'!D8+'Cuadro 3-Coclé'!D8+'Cuadro 4-Colón'!D8+'Cuadro 5-Chiriquí'!D8+'Cuadro 6-Darién'!D8+'Cuadro 7-Herrera'!D8+'Cuadro 8-Los Santos'!D8+'Cuadro 9-Panamá'!D8+'Cuadro 10-Panamá Oeste'!D8+'Cuadro 11-Veraguas'!D8)*100,"")</f>
        <v>36.573083430442409</v>
      </c>
      <c r="G8" s="14">
        <f>IFERROR(('Cuadro 5-Chiriquí'!C8)/('Cuadro 2-Bocas del Toro'!C8+'Cuadro 3-Coclé'!C8+'Cuadro 4-Colón'!C8+'Cuadro 5-Chiriquí'!C8+'Cuadro 6-Darién'!C8+'Cuadro 7-Herrera'!C8+'Cuadro 8-Los Santos'!C8+'Cuadro 9-Panamá'!C8+'Cuadro 10-Panamá Oeste'!C8+'Cuadro 11-Veraguas'!C8)*100,"")</f>
        <v>5.2179237362233373</v>
      </c>
      <c r="H8" s="14">
        <f>IFERROR(('Cuadro 6-Darién'!C8)/('Cuadro 2-Bocas del Toro'!C8+'Cuadro 3-Coclé'!C8+'Cuadro 4-Colón'!C8+'Cuadro 5-Chiriquí'!C8+'Cuadro 6-Darién'!C8+'Cuadro 7-Herrera'!C8+'Cuadro 8-Los Santos'!C8+'Cuadro 9-Panamá'!C8+'Cuadro 10-Panamá Oeste'!C8+'Cuadro 11-Veraguas'!C8)*100,"")</f>
        <v>0.11323313708765145</v>
      </c>
      <c r="I8" s="14">
        <f>IFERROR(('Cuadro 7-Herrera'!C8)/('Cuadro 2-Bocas del Toro'!C8+'Cuadro 3-Coclé'!C8+'Cuadro 4-Colón'!C8+'Cuadro 5-Chiriquí'!C8+'Cuadro 6-Darién'!C8+'Cuadro 7-Herrera'!C8+'Cuadro 8-Los Santos'!C8+'Cuadro 9-Panamá'!C8+'Cuadro 10-Panamá Oeste'!C8+'Cuadro 11-Veraguas'!C8)*100,"")</f>
        <v>1.0387378989428557</v>
      </c>
      <c r="J8" s="14">
        <f>IFERROR(('Cuadro 8-Los Santos'!C8)/('Cuadro 2-Bocas del Toro'!C8+'Cuadro 3-Coclé'!C8+'Cuadro 4-Colón'!C8+'Cuadro 5-Chiriquí'!C8+'Cuadro 6-Darién'!C8+'Cuadro 7-Herrera'!C8+'Cuadro 8-Los Santos'!C8+'Cuadro 9-Panamá'!C8+'Cuadro 10-Panamá Oeste'!C8+'Cuadro 11-Veraguas'!C8)*100,"")</f>
        <v>0.94772479019738387</v>
      </c>
      <c r="K8" s="14">
        <f>IFERROR(('Cuadro 9-Panamá'!C8)/('Cuadro 2-Bocas del Toro'!C8+'Cuadro 3-Coclé'!C8+'Cuadro 4-Colón'!C8+'Cuadro 5-Chiriquí'!C8+'Cuadro 6-Darién'!C8+'Cuadro 7-Herrera'!C8+'Cuadro 8-Los Santos'!C8+'Cuadro 9-Panamá'!C8+'Cuadro 10-Panamá Oeste'!C8+'Cuadro 11-Veraguas'!C8)*100,"")</f>
        <v>45.120249825588921</v>
      </c>
      <c r="L8" s="19">
        <f>IFERROR(('Cuadro 10-Panamá Oeste'!C8)/('Cuadro 2-Bocas del Toro'!C8+'Cuadro 3-Coclé'!C8+'Cuadro 4-Colón'!C8+'Cuadro 5-Chiriquí'!C8+'Cuadro 6-Darién'!C8+'Cuadro 7-Herrera'!C8+'Cuadro 8-Los Santos'!C8+'Cuadro 9-Panamá'!C8+'Cuadro 10-Panamá Oeste'!C8+'Cuadro 11-Veraguas'!C8)*100,"")</f>
        <v>11.646858474415216</v>
      </c>
      <c r="M8" s="106">
        <f>IFERROR(('Cuadro 11-Veraguas'!C8)/('Cuadro 2-Bocas del Toro'!C8+'Cuadro 3-Coclé'!C8+'Cuadro 4-Colón'!C8+'Cuadro 5-Chiriquí'!C8+'Cuadro 6-Darién'!C8+'Cuadro 7-Herrera'!C8+'Cuadro 8-Los Santos'!C8+'Cuadro 9-Panamá'!C8+'Cuadro 10-Panamá Oeste'!C8+'Cuadro 11-Veraguas'!C8)*100,"")</f>
        <v>3.0645128028483772</v>
      </c>
      <c r="N8" s="58"/>
    </row>
    <row r="9" spans="1:15" ht="32.25" customHeight="1">
      <c r="A9" s="56" t="s">
        <v>2</v>
      </c>
      <c r="B9" s="60" t="s">
        <v>3</v>
      </c>
      <c r="C9" s="14">
        <f>IFERROR(('Cuadro 2-Bocas del Toro'!C9+'Cuadro 3-Coclé'!C9+'Cuadro 4-Colón'!C9+'Cuadro 5-Chiriquí'!C9+'Cuadro 6-Darién'!C9+'Cuadro 7-Herrera'!C9+'Cuadro 8-Los Santos'!C9+'Cuadro 9-Panamá'!C9+'Cuadro 10-Panamá Oeste'!C9+'Cuadro 11-Veraguas'!C9)/('Cuadro 2-Bocas del Toro'!C9+'Cuadro 3-Coclé'!C9+'Cuadro 4-Colón'!C9+'Cuadro 5-Chiriquí'!C9+'Cuadro 6-Darién'!C9+'Cuadro 7-Herrera'!C9+'Cuadro 8-Los Santos'!C9+'Cuadro 9-Panamá'!C9+'Cuadro 10-Panamá Oeste'!C9+'Cuadro 11-Veraguas'!C9)*100,"")</f>
        <v>100</v>
      </c>
      <c r="D9" s="14">
        <f>IFERROR(('Cuadro 2-Bocas del Toro'!C9)/('Cuadro 2-Bocas del Toro'!C9+'Cuadro 3-Coclé'!C9+'Cuadro 4-Colón'!C9+'Cuadro 5-Chiriquí'!C9+'Cuadro 6-Darién'!C9+'Cuadro 7-Herrera'!C9+'Cuadro 8-Los Santos'!C9+'Cuadro 9-Panamá'!C9+'Cuadro 10-Panamá Oeste'!C9+'Cuadro 11-Veraguas'!C9)*100,"")</f>
        <v>1.2607583787869803E-2</v>
      </c>
      <c r="E9" s="14">
        <f>IFERROR(('Cuadro 3-Coclé'!C9)/('Cuadro 2-Bocas del Toro'!C9+'Cuadro 3-Coclé'!C9+'Cuadro 4-Colón'!C9+'Cuadro 5-Chiriquí'!C9+'Cuadro 6-Darién'!C9+'Cuadro 7-Herrera'!C9+'Cuadro 8-Los Santos'!C9+'Cuadro 9-Panamá'!C9+'Cuadro 10-Panamá Oeste'!C9+'Cuadro 11-Veraguas'!C9)*100,"")</f>
        <v>9.3173914657813501</v>
      </c>
      <c r="F9" s="14">
        <f>IFERROR(('Cuadro 4-Colón'!D9)/('Cuadro 2-Bocas del Toro'!D9+'Cuadro 3-Coclé'!D9+'Cuadro 4-Colón'!D9+'Cuadro 5-Chiriquí'!D9+'Cuadro 6-Darién'!D9+'Cuadro 7-Herrera'!D9+'Cuadro 8-Los Santos'!D9+'Cuadro 9-Panamá'!D9+'Cuadro 10-Panamá Oeste'!D9+'Cuadro 11-Veraguas'!D9)*100,"")</f>
        <v>2.2113284730517031</v>
      </c>
      <c r="G9" s="14">
        <f>IFERROR(('Cuadro 5-Chiriquí'!C9)/('Cuadro 2-Bocas del Toro'!C9+'Cuadro 3-Coclé'!C9+'Cuadro 4-Colón'!C9+'Cuadro 5-Chiriquí'!C9+'Cuadro 6-Darién'!C9+'Cuadro 7-Herrera'!C9+'Cuadro 8-Los Santos'!C9+'Cuadro 9-Panamá'!C9+'Cuadro 10-Panamá Oeste'!C9+'Cuadro 11-Veraguas'!C9)*100,"")</f>
        <v>6.1059612403280106</v>
      </c>
      <c r="H9" s="14">
        <f>IFERROR(('Cuadro 6-Darién'!C9)/('Cuadro 2-Bocas del Toro'!C9+'Cuadro 3-Coclé'!C9+'Cuadro 4-Colón'!C9+'Cuadro 5-Chiriquí'!C9+'Cuadro 6-Darién'!C9+'Cuadro 7-Herrera'!C9+'Cuadro 8-Los Santos'!C9+'Cuadro 9-Panamá'!C9+'Cuadro 10-Panamá Oeste'!C9+'Cuadro 11-Veraguas'!C9)*100,"")</f>
        <v>1.2355432112112406E-2</v>
      </c>
      <c r="I9" s="14">
        <f>IFERROR(('Cuadro 7-Herrera'!C9)/('Cuadro 2-Bocas del Toro'!C9+'Cuadro 3-Coclé'!C9+'Cuadro 4-Colón'!C9+'Cuadro 5-Chiriquí'!C9+'Cuadro 6-Darién'!C9+'Cuadro 7-Herrera'!C9+'Cuadro 8-Los Santos'!C9+'Cuadro 9-Panamá'!C9+'Cuadro 10-Panamá Oeste'!C9+'Cuadro 11-Veraguas'!C9)*100,"")</f>
        <v>1.1645658653728288</v>
      </c>
      <c r="J9" s="14">
        <f>IFERROR(('Cuadro 8-Los Santos'!C9)/('Cuadro 2-Bocas del Toro'!C9+'Cuadro 3-Coclé'!C9+'Cuadro 4-Colón'!C9+'Cuadro 5-Chiriquí'!C9+'Cuadro 6-Darién'!C9+'Cuadro 7-Herrera'!C9+'Cuadro 8-Los Santos'!C9+'Cuadro 9-Panamá'!C9+'Cuadro 10-Panamá Oeste'!C9+'Cuadro 11-Veraguas'!C9)*100,"")</f>
        <v>0.39122095542684349</v>
      </c>
      <c r="K9" s="14">
        <f>IFERROR(('Cuadro 9-Panamá'!C9)/('Cuadro 2-Bocas del Toro'!C9+'Cuadro 3-Coclé'!C9+'Cuadro 4-Colón'!C9+'Cuadro 5-Chiriquí'!C9+'Cuadro 6-Darién'!C9+'Cuadro 7-Herrera'!C9+'Cuadro 8-Los Santos'!C9+'Cuadro 9-Panamá'!C9+'Cuadro 10-Panamá Oeste'!C9+'Cuadro 11-Veraguas'!C9)*100,"")</f>
        <v>60.989568913651858</v>
      </c>
      <c r="L9" s="19">
        <f>IFERROR(('Cuadro 10-Panamá Oeste'!C9)/('Cuadro 2-Bocas del Toro'!C9+'Cuadro 3-Coclé'!C9+'Cuadro 4-Colón'!C9+'Cuadro 5-Chiriquí'!C9+'Cuadro 6-Darién'!C9+'Cuadro 7-Herrera'!C9+'Cuadro 8-Los Santos'!C9+'Cuadro 9-Panamá'!C9+'Cuadro 10-Panamá Oeste'!C9+'Cuadro 11-Veraguas'!C9)*100,"")</f>
        <v>14.672638788577039</v>
      </c>
      <c r="M9" s="106">
        <f>IFERROR(('Cuadro 11-Veraguas'!C9)/('Cuadro 2-Bocas del Toro'!C9+'Cuadro 3-Coclé'!C9+'Cuadro 4-Colón'!C9+'Cuadro 5-Chiriquí'!C9+'Cuadro 6-Darién'!C9+'Cuadro 7-Herrera'!C9+'Cuadro 8-Los Santos'!C9+'Cuadro 9-Panamá'!C9+'Cuadro 10-Panamá Oeste'!C9+'Cuadro 11-Veraguas'!C9)*100,"")</f>
        <v>4.8858150904194586</v>
      </c>
      <c r="N9" s="47"/>
    </row>
    <row r="10" spans="1:15" ht="44.25" customHeight="1">
      <c r="A10" s="56" t="s">
        <v>68</v>
      </c>
      <c r="B10" s="60" t="s">
        <v>69</v>
      </c>
      <c r="C10" s="14">
        <f>IFERROR(('Cuadro 2-Bocas del Toro'!C10+'Cuadro 3-Coclé'!C10+'Cuadro 4-Colón'!C10+'Cuadro 5-Chiriquí'!C10+'Cuadro 6-Darién'!C10+'Cuadro 7-Herrera'!C10+'Cuadro 8-Los Santos'!C10+'Cuadro 9-Panamá'!C10+'Cuadro 10-Panamá Oeste'!C10+'Cuadro 11-Veraguas'!C10)/('Cuadro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100</v>
      </c>
      <c r="D10" s="14">
        <f>IFERROR(('Cuadro 2-Bocas del Toro'!C10)/('Cuadro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14.876185788455377</v>
      </c>
      <c r="E10" s="14">
        <f>IFERROR(('Cuadro 3-Coclé'!C10)/('Cuadro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5.7079615754485546</v>
      </c>
      <c r="F10" s="14">
        <f>IFERROR(('Cuadro 4-Colón'!D10)/('Cuadro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22.40018190436431</v>
      </c>
      <c r="G10" s="14">
        <f>IFERROR(('Cuadro 5-Chiriquí'!C10)/('Cuadro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25.545093312016085</v>
      </c>
      <c r="H10" s="14">
        <f>IFERROR(('Cuadro 6-Darién'!C10)/('Cuadro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0.13958624526888685</v>
      </c>
      <c r="I10" s="14">
        <f>IFERROR(('Cuadro 7-Herrera'!C10)/('Cuadro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1.0879484148391283</v>
      </c>
      <c r="J10" s="14">
        <f>IFERROR(('Cuadro 8-Los Santos'!C10)/('Cuadro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0.84938487538555807</v>
      </c>
      <c r="K10" s="14">
        <f>IFERROR(('Cuadro 9-Panamá'!C10)/('Cuadro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32.712016829013947</v>
      </c>
      <c r="L10" s="19">
        <f>IFERROR(('Cuadro 10-Panamá Oeste'!C10)/('Cuadro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7.1785513506823522</v>
      </c>
      <c r="M10" s="106">
        <f>IFERROR(('Cuadro 11-Veraguas'!C10)/('Cuadro 2-Bocas del Toro'!C10+'Cuadro 3-Coclé'!C10+'Cuadro 4-Colón'!C10+'Cuadro 5-Chiriquí'!C10+'Cuadro 6-Darién'!C10+'Cuadro 7-Herrera'!C10+'Cuadro 8-Los Santos'!C10+'Cuadro 9-Panamá'!C10+'Cuadro 10-Panamá Oeste'!C10+'Cuadro 11-Veraguas'!C10)*100,"")</f>
        <v>1.55689837190592</v>
      </c>
      <c r="N10" s="47"/>
    </row>
    <row r="11" spans="1:15" ht="32.25" customHeight="1">
      <c r="A11" s="56" t="s">
        <v>4</v>
      </c>
      <c r="B11" s="60" t="s">
        <v>94</v>
      </c>
      <c r="C11" s="14">
        <f>IFERROR(('Cuadro 2-Bocas del Toro'!C11+'Cuadro 3-Coclé'!C11+'Cuadro 4-Colón'!C11+'Cuadro 5-Chiriquí'!C11+'Cuadro 6-Darién'!C11+'Cuadro 7-Herrera'!C11+'Cuadro 8-Los Santos'!C11+'Cuadro 9-Panamá'!C11+'Cuadro 10-Panamá Oeste'!C11+'Cuadro 11-Veraguas'!C11)/('Cuadro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100</v>
      </c>
      <c r="D11" s="14">
        <f>IFERROR(('Cuadro 2-Bocas del Toro'!C11)/('Cuadro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0.33758987806348689</v>
      </c>
      <c r="E11" s="14">
        <f>IFERROR(('Cuadro 3-Coclé'!C11)/('Cuadro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3.3495084982803651</v>
      </c>
      <c r="F11" s="14">
        <f>IFERROR(('Cuadro 4-Colón'!D11)/('Cuadro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22.075048814313604</v>
      </c>
      <c r="G11" s="14">
        <f>IFERROR(('Cuadro 5-Chiriquí'!C11)/('Cuadro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4.7241434263883848</v>
      </c>
      <c r="H11" s="14">
        <f>IFERROR(('Cuadro 6-Darién'!C11)/('Cuadro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0.10251770766759774</v>
      </c>
      <c r="I11" s="14">
        <f>IFERROR(('Cuadro 7-Herrera'!C11)/('Cuadro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0.92549399060420068</v>
      </c>
      <c r="J11" s="14">
        <f>IFERROR(('Cuadro 8-Los Santos'!C11)/('Cuadro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0.71435337332596549</v>
      </c>
      <c r="K11" s="14">
        <f>IFERROR(('Cuadro 9-Panamá'!C11)/('Cuadro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50.315797495871173</v>
      </c>
      <c r="L11" s="19">
        <f>IFERROR(('Cuadro 10-Panamá Oeste'!C11)/('Cuadro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11.072048677900446</v>
      </c>
      <c r="M11" s="106">
        <f>IFERROR(('Cuadro 11-Veraguas'!C11)/('Cuadro 2-Bocas del Toro'!C11+'Cuadro 3-Coclé'!C11+'Cuadro 4-Colón'!C11+'Cuadro 5-Chiriquí'!C11+'Cuadro 6-Darién'!C11+'Cuadro 7-Herrera'!C11+'Cuadro 8-Los Santos'!C11+'Cuadro 9-Panamá'!C11+'Cuadro 10-Panamá Oeste'!C11+'Cuadro 11-Veraguas'!C11)*100,"")</f>
        <v>2.774513148238845</v>
      </c>
      <c r="N11" s="47"/>
    </row>
    <row r="12" spans="1:15" ht="41.25" customHeight="1">
      <c r="A12" s="56" t="s">
        <v>5</v>
      </c>
      <c r="B12" s="60" t="s">
        <v>54</v>
      </c>
      <c r="C12" s="14">
        <f>IFERROR(('Cuadro 2-Bocas del Toro'!C12+'Cuadro 3-Coclé'!C12+'Cuadro 4-Colón'!C12+'Cuadro 5-Chiriquí'!C12+'Cuadro 6-Darién'!C12+'Cuadro 7-Herrera'!C12+'Cuadro 8-Los Santos'!C12+'Cuadro 9-Panamá'!C12+'Cuadro 10-Panamá Oeste'!C12+'Cuadro 11-Veraguas'!C12)/('Cuadro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100</v>
      </c>
      <c r="D12" s="14">
        <f>IFERROR(('Cuadro 2-Bocas del Toro'!C12)/('Cuadro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0.11730820855563792</v>
      </c>
      <c r="E12" s="14">
        <f>IFERROR(('Cuadro 3-Coclé'!C12)/('Cuadro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1.3716853165233576</v>
      </c>
      <c r="F12" s="14">
        <f>IFERROR(('Cuadro 4-Colón'!D12)/('Cuadro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30.482062556324856</v>
      </c>
      <c r="G12" s="14">
        <f>IFERROR(('Cuadro 5-Chiriquí'!C12)/('Cuadro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2.8518477424257545</v>
      </c>
      <c r="H12" s="14">
        <f>IFERROR(('Cuadro 6-Darién'!C12)/('Cuadro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5.3651303347747748E-3</v>
      </c>
      <c r="I12" s="14">
        <f>IFERROR(('Cuadro 7-Herrera'!C12)/('Cuadro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0.14386748423953966</v>
      </c>
      <c r="J12" s="14">
        <f>IFERROR(('Cuadro 8-Los Santos'!C12)/('Cuadro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0.19257466460470513</v>
      </c>
      <c r="K12" s="14">
        <f>IFERROR(('Cuadro 9-Panamá'!C12)/('Cuadro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62.474693816605608</v>
      </c>
      <c r="L12" s="19">
        <f>IFERROR(('Cuadro 10-Panamá Oeste'!C12)/('Cuadro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0.90084234061500112</v>
      </c>
      <c r="M12" s="106">
        <f>IFERROR(('Cuadro 11-Veraguas'!C12)/('Cuadro 2-Bocas del Toro'!C12+'Cuadro 3-Coclé'!C12+'Cuadro 4-Colón'!C12+'Cuadro 5-Chiriquí'!C12+'Cuadro 6-Darién'!C12+'Cuadro 7-Herrera'!C12+'Cuadro 8-Los Santos'!C12+'Cuadro 9-Panamá'!C12+'Cuadro 10-Panamá Oeste'!C12+'Cuadro 11-Veraguas'!C12)*100,"")</f>
        <v>1.3689749504050561</v>
      </c>
      <c r="N12" s="47"/>
    </row>
    <row r="13" spans="1:15" ht="32.25" customHeight="1">
      <c r="A13" s="56" t="s">
        <v>6</v>
      </c>
      <c r="B13" s="60" t="s">
        <v>55</v>
      </c>
      <c r="C13" s="14">
        <f>IFERROR(('Cuadro 2-Bocas del Toro'!C13+'Cuadro 3-Coclé'!C13+'Cuadro 4-Colón'!C13+'Cuadro 5-Chiriquí'!C13+'Cuadro 6-Darién'!C13+'Cuadro 7-Herrera'!C13+'Cuadro 8-Los Santos'!C13+'Cuadro 9-Panamá'!C13+'Cuadro 10-Panamá Oeste'!C13+'Cuadro 11-Veraguas'!C13)/('Cuadro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100</v>
      </c>
      <c r="D13" s="14">
        <f>IFERROR(('Cuadro 2-Bocas del Toro'!C13)/('Cuadro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0.98199267399215895</v>
      </c>
      <c r="E13" s="14">
        <f>IFERROR(('Cuadro 3-Coclé'!C13)/('Cuadro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0.91632374113725901</v>
      </c>
      <c r="F13" s="14">
        <f>IFERROR(('Cuadro 4-Colón'!D13)/('Cuadro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24.291708374290028</v>
      </c>
      <c r="G13" s="14">
        <f>IFERROR(('Cuadro 5-Chiriquí'!C13)/('Cuadro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3.1616744812376107</v>
      </c>
      <c r="H13" s="14">
        <f>IFERROR(('Cuadro 6-Darién'!C13)/('Cuadro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3.6743105005513303E-2</v>
      </c>
      <c r="I13" s="14">
        <f>IFERROR(('Cuadro 7-Herrera'!C13)/('Cuadro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0.60559604984323367</v>
      </c>
      <c r="J13" s="14">
        <f>IFERROR(('Cuadro 8-Los Santos'!C13)/('Cuadro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0.50430813182900713</v>
      </c>
      <c r="K13" s="14">
        <f>IFERROR(('Cuadro 9-Panamá'!C13)/('Cuadro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56.253467836769033</v>
      </c>
      <c r="L13" s="19">
        <f>IFERROR(('Cuadro 10-Panamá Oeste'!C13)/('Cuadro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12.421990446403218</v>
      </c>
      <c r="M13" s="106">
        <f>IFERROR(('Cuadro 11-Veraguas'!C13)/('Cuadro 2-Bocas del Toro'!C13+'Cuadro 3-Coclé'!C13+'Cuadro 4-Colón'!C13+'Cuadro 5-Chiriquí'!C13+'Cuadro 6-Darién'!C13+'Cuadro 7-Herrera'!C13+'Cuadro 8-Los Santos'!C13+'Cuadro 9-Panamá'!C13+'Cuadro 10-Panamá Oeste'!C13+'Cuadro 11-Veraguas'!C13)*100,"")</f>
        <v>1.0403469184392702</v>
      </c>
      <c r="N13" s="47"/>
    </row>
    <row r="14" spans="1:15" ht="32.25" customHeight="1">
      <c r="A14" s="56" t="s">
        <v>7</v>
      </c>
      <c r="B14" s="60" t="s">
        <v>32</v>
      </c>
      <c r="C14" s="14">
        <f>IFERROR(('Cuadro 2-Bocas del Toro'!C14+'Cuadro 3-Coclé'!C14+'Cuadro 4-Colón'!C14+'Cuadro 5-Chiriquí'!C14+'Cuadro 6-Darién'!C14+'Cuadro 7-Herrera'!C14+'Cuadro 8-Los Santos'!C14+'Cuadro 9-Panamá'!C14+'Cuadro 10-Panamá Oeste'!C14+'Cuadro 11-Veraguas'!C14)/('Cuadro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100</v>
      </c>
      <c r="D14" s="14">
        <f>IFERROR(('Cuadro 2-Bocas del Toro'!C14)/('Cuadro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0.60053483216699599</v>
      </c>
      <c r="E14" s="14">
        <f>IFERROR(('Cuadro 3-Coclé'!C14)/('Cuadro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5.6770167467387038</v>
      </c>
      <c r="F14" s="14">
        <f>IFERROR(('Cuadro 4-Colón'!D14)/('Cuadro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2.9569509048951019</v>
      </c>
      <c r="G14" s="14">
        <f>IFERROR(('Cuadro 5-Chiriquí'!C14)/('Cuadro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1.1295326833255923</v>
      </c>
      <c r="H14" s="14">
        <f>IFERROR(('Cuadro 6-Darién'!C14)/('Cuadro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5.5249204559363633E-3</v>
      </c>
      <c r="I14" s="14">
        <f>IFERROR(('Cuadro 7-Herrera'!C14)/('Cuadro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0.66981275126734907</v>
      </c>
      <c r="J14" s="14">
        <f>IFERROR(('Cuadro 8-Los Santos'!C14)/('Cuadro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0.41451652794551136</v>
      </c>
      <c r="K14" s="14">
        <f>IFERROR(('Cuadro 9-Panamá'!C14)/('Cuadro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81.972270918566508</v>
      </c>
      <c r="L14" s="19">
        <f>IFERROR(('Cuadro 10-Panamá Oeste'!C14)/('Cuadro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3.0849783996214719</v>
      </c>
      <c r="M14" s="106">
        <f>IFERROR(('Cuadro 11-Veraguas'!C14)/('Cuadro 2-Bocas del Toro'!C14+'Cuadro 3-Coclé'!C14+'Cuadro 4-Colón'!C14+'Cuadro 5-Chiriquí'!C14+'Cuadro 6-Darién'!C14+'Cuadro 7-Herrera'!C14+'Cuadro 8-Los Santos'!C14+'Cuadro 9-Panamá'!C14+'Cuadro 10-Panamá Oeste'!C14+'Cuadro 11-Veraguas'!C14)*100,"")</f>
        <v>3.2259071588504149</v>
      </c>
      <c r="N14" s="47"/>
    </row>
    <row r="15" spans="1:15" ht="32.25" customHeight="1">
      <c r="A15" s="56" t="s">
        <v>8</v>
      </c>
      <c r="B15" s="60" t="s">
        <v>56</v>
      </c>
      <c r="C15" s="14">
        <f>IFERROR(('Cuadro 2-Bocas del Toro'!C15+'Cuadro 3-Coclé'!C15+'Cuadro 4-Colón'!C15+'Cuadro 5-Chiriquí'!C15+'Cuadro 6-Darién'!C15+'Cuadro 7-Herrera'!C15+'Cuadro 8-Los Santos'!C15+'Cuadro 9-Panamá'!C15+'Cuadro 10-Panamá Oeste'!C15+'Cuadro 11-Veraguas'!C15)/('Cuadro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100</v>
      </c>
      <c r="D15" s="14">
        <f>IFERROR(('Cuadro 2-Bocas del Toro'!C15)/('Cuadro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4.095428879073518</v>
      </c>
      <c r="E15" s="14">
        <f>IFERROR(('Cuadro 3-Coclé'!C15)/('Cuadro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6.3300730045304103</v>
      </c>
      <c r="F15" s="14">
        <f>IFERROR(('Cuadro 4-Colón'!D15)/('Cuadro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8.0668994654414252</v>
      </c>
      <c r="G15" s="14">
        <f>IFERROR(('Cuadro 5-Chiriquí'!C15)/('Cuadro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16.19144350642965</v>
      </c>
      <c r="H15" s="14">
        <f>IFERROR(('Cuadro 6-Darién'!C15)/('Cuadro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1.6585380867431654</v>
      </c>
      <c r="I15" s="14">
        <f>IFERROR(('Cuadro 7-Herrera'!C15)/('Cuadro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2.8550660133024492</v>
      </c>
      <c r="J15" s="14">
        <f>IFERROR(('Cuadro 8-Los Santos'!C15)/('Cuadro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2.2959841857581891</v>
      </c>
      <c r="K15" s="14">
        <f>IFERROR(('Cuadro 9-Panamá'!C15)/('Cuadro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38.454759481319414</v>
      </c>
      <c r="L15" s="19">
        <f>IFERROR(('Cuadro 10-Panamá Oeste'!C15)/('Cuadro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14.126656764731413</v>
      </c>
      <c r="M15" s="106">
        <f>IFERROR(('Cuadro 11-Veraguas'!C15)/('Cuadro 2-Bocas del Toro'!C15+'Cuadro 3-Coclé'!C15+'Cuadro 4-Colón'!C15+'Cuadro 5-Chiriquí'!C15+'Cuadro 6-Darién'!C15+'Cuadro 7-Herrera'!C15+'Cuadro 8-Los Santos'!C15+'Cuadro 9-Panamá'!C15+'Cuadro 10-Panamá Oeste'!C15+'Cuadro 11-Veraguas'!C15)*100,"")</f>
        <v>5.9368089174164664</v>
      </c>
      <c r="N15" s="47"/>
    </row>
    <row r="16" spans="1:15" ht="32.25" customHeight="1">
      <c r="A16" s="56" t="s">
        <v>9</v>
      </c>
      <c r="B16" s="60" t="s">
        <v>57</v>
      </c>
      <c r="C16" s="14">
        <f>IFERROR(('Cuadro 2-Bocas del Toro'!C16+'Cuadro 3-Coclé'!C16+'Cuadro 4-Colón'!C16+'Cuadro 5-Chiriquí'!C16+'Cuadro 6-Darién'!C16+'Cuadro 7-Herrera'!C16+'Cuadro 8-Los Santos'!C16+'Cuadro 9-Panamá'!C16+'Cuadro 10-Panamá Oeste'!C16+'Cuadro 11-Veraguas'!C16)/('Cuadro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100</v>
      </c>
      <c r="D16" s="14">
        <f>IFERROR(('Cuadro 2-Bocas del Toro'!C16)/('Cuadro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0.3472961663041691</v>
      </c>
      <c r="E16" s="14">
        <f>IFERROR(('Cuadro 3-Coclé'!C16)/('Cuadro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1.2251134953027856</v>
      </c>
      <c r="F16" s="14">
        <f>IFERROR(('Cuadro 4-Colón'!D16)/('Cuadro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3.1501002823275512</v>
      </c>
      <c r="G16" s="14">
        <f>IFERROR(('Cuadro 5-Chiriquí'!C16)/('Cuadro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4.4236557025299188</v>
      </c>
      <c r="H16" s="14">
        <f>IFERROR(('Cuadro 6-Darién'!C16)/('Cuadro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0.11242529504466912</v>
      </c>
      <c r="I16" s="14">
        <f>IFERROR(('Cuadro 7-Herrera'!C16)/('Cuadro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1.2421689899491954</v>
      </c>
      <c r="J16" s="14">
        <f>IFERROR(('Cuadro 8-Los Santos'!C16)/('Cuadro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0.68985041715879636</v>
      </c>
      <c r="K16" s="14">
        <f>IFERROR(('Cuadro 9-Panamá'!C16)/('Cuadro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85.919277981389712</v>
      </c>
      <c r="L16" s="19">
        <f>IFERROR(('Cuadro 10-Panamá Oeste'!C16)/('Cuadro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1.5792999423085492</v>
      </c>
      <c r="M16" s="106">
        <f>IFERROR(('Cuadro 11-Veraguas'!C16)/('Cuadro 2-Bocas del Toro'!C16+'Cuadro 3-Coclé'!C16+'Cuadro 4-Colón'!C16+'Cuadro 5-Chiriquí'!C16+'Cuadro 6-Darién'!C16+'Cuadro 7-Herrera'!C16+'Cuadro 8-Los Santos'!C16+'Cuadro 9-Panamá'!C16+'Cuadro 10-Panamá Oeste'!C16+'Cuadro 11-Veraguas'!C16)*100,"")</f>
        <v>1.7235370620721118</v>
      </c>
      <c r="N16" s="47"/>
    </row>
    <row r="17" spans="1:14" ht="32.25" customHeight="1">
      <c r="A17" s="56" t="s">
        <v>70</v>
      </c>
      <c r="B17" s="60" t="s">
        <v>95</v>
      </c>
      <c r="C17" s="14">
        <f>IFERROR(('Cuadro 2-Bocas del Toro'!C17+'Cuadro 3-Coclé'!C17+'Cuadro 4-Colón'!C17+'Cuadro 5-Chiriquí'!C17+'Cuadro 6-Darién'!C17+'Cuadro 7-Herrera'!C17+'Cuadro 8-Los Santos'!C17+'Cuadro 9-Panamá'!C17+'Cuadro 10-Panamá Oeste'!C17+'Cuadro 11-Veraguas'!C17)/('Cuadro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100</v>
      </c>
      <c r="D17" s="14">
        <f>IFERROR(('Cuadro 2-Bocas del Toro'!C17)/('Cuadro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0.8512842405062292</v>
      </c>
      <c r="E17" s="14">
        <f>IFERROR(('Cuadro 3-Coclé'!C17)/('Cuadro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1.6053691788243514</v>
      </c>
      <c r="F17" s="14">
        <f>IFERROR(('Cuadro 4-Colón'!D17)/('Cuadro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2.4362577372521974</v>
      </c>
      <c r="G17" s="14">
        <f>IFERROR(('Cuadro 5-Chiriquí'!C17)/('Cuadro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3.3610915832001473</v>
      </c>
      <c r="H17" s="14">
        <f>IFERROR(('Cuadro 6-Darién'!C17)/('Cuadro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0.15780718773370883</v>
      </c>
      <c r="I17" s="14">
        <f>IFERROR(('Cuadro 7-Herrera'!C17)/('Cuadro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0.85345568651402703</v>
      </c>
      <c r="J17" s="14">
        <f>IFERROR(('Cuadro 8-Los Santos'!C17)/('Cuadro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0.70716220538166719</v>
      </c>
      <c r="K17" s="14">
        <f>IFERROR(('Cuadro 9-Panamá'!C17)/('Cuadro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78.231220164657074</v>
      </c>
      <c r="L17" s="19">
        <f>IFERROR(('Cuadro 10-Panamá Oeste'!C17)/('Cuadro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10.480462114029795</v>
      </c>
      <c r="M17" s="106">
        <f>IFERROR(('Cuadro 11-Veraguas'!C17)/('Cuadro 2-Bocas del Toro'!C17+'Cuadro 3-Coclé'!C17+'Cuadro 4-Colón'!C17+'Cuadro 5-Chiriquí'!C17+'Cuadro 6-Darién'!C17+'Cuadro 7-Herrera'!C17+'Cuadro 8-Los Santos'!C17+'Cuadro 9-Panamá'!C17+'Cuadro 10-Panamá Oeste'!C17+'Cuadro 11-Veraguas'!C17)*100,"")</f>
        <v>1.2373777524156107</v>
      </c>
      <c r="N17" s="47"/>
    </row>
    <row r="18" spans="1:14" ht="32.25" customHeight="1">
      <c r="A18" s="56" t="s">
        <v>10</v>
      </c>
      <c r="B18" s="60" t="s">
        <v>58</v>
      </c>
      <c r="C18" s="14">
        <f>IFERROR(('Cuadro 2-Bocas del Toro'!C18+'Cuadro 3-Coclé'!C18+'Cuadro 4-Colón'!C18+'Cuadro 5-Chiriquí'!C18+'Cuadro 6-Darién'!C18+'Cuadro 7-Herrera'!C18+'Cuadro 8-Los Santos'!C18+'Cuadro 9-Panamá'!C18+'Cuadro 10-Panamá Oeste'!C18+'Cuadro 11-Veraguas'!C18)/('Cuadro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100</v>
      </c>
      <c r="D18" s="14">
        <f>IFERROR(('Cuadro 2-Bocas del Toro'!C18)/('Cuadro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8.675020756146877E-2</v>
      </c>
      <c r="E18" s="14">
        <f>IFERROR(('Cuadro 3-Coclé'!C18)/('Cuadro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0.5478300410465935</v>
      </c>
      <c r="F18" s="14">
        <f>IFERROR(('Cuadro 4-Colón'!D18)/('Cuadro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1.8218769304861671</v>
      </c>
      <c r="G18" s="14">
        <f>IFERROR(('Cuadro 5-Chiriquí'!C18)/('Cuadro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3.7829029043876479</v>
      </c>
      <c r="H18" s="14">
        <f>IFERROR(('Cuadro 6-Darién'!C18)/('Cuadro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7.9810190956551244E-2</v>
      </c>
      <c r="I18" s="14">
        <f>IFERROR(('Cuadro 7-Herrera'!C18)/('Cuadro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0.39638730755670426</v>
      </c>
      <c r="J18" s="14">
        <f>IFERROR(('Cuadro 8-Los Santos'!C18)/('Cuadro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0.10651493998479679</v>
      </c>
      <c r="K18" s="14">
        <f>IFERROR(('Cuadro 9-Panamá'!C18)/('Cuadro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85.703075748595182</v>
      </c>
      <c r="L18" s="19">
        <f>IFERROR(('Cuadro 10-Panamá Oeste'!C18)/('Cuadro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6.7195493779923661</v>
      </c>
      <c r="M18" s="106">
        <f>IFERROR(('Cuadro 11-Veraguas'!C18)/('Cuadro 2-Bocas del Toro'!C18+'Cuadro 3-Coclé'!C18+'Cuadro 4-Colón'!C18+'Cuadro 5-Chiriquí'!C18+'Cuadro 6-Darién'!C18+'Cuadro 7-Herrera'!C18+'Cuadro 8-Los Santos'!C18+'Cuadro 9-Panamá'!C18+'Cuadro 10-Panamá Oeste'!C18+'Cuadro 11-Veraguas'!C18)*100,"")</f>
        <v>0.71927707364558535</v>
      </c>
      <c r="N18" s="47"/>
    </row>
    <row r="19" spans="1:14" ht="32.25" customHeight="1">
      <c r="A19" s="56" t="s">
        <v>59</v>
      </c>
      <c r="B19" s="60" t="s">
        <v>60</v>
      </c>
      <c r="C19" s="14">
        <f>IFERROR(('Cuadro 2-Bocas del Toro'!C19+'Cuadro 3-Coclé'!C19+'Cuadro 4-Colón'!C19+'Cuadro 5-Chiriquí'!C19+'Cuadro 6-Darién'!C19+'Cuadro 7-Herrera'!C19+'Cuadro 8-Los Santos'!C19+'Cuadro 9-Panamá'!C19+'Cuadro 10-Panamá Oeste'!C19+'Cuadro 11-Veraguas'!C19)/('Cuadro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100</v>
      </c>
      <c r="D19" s="14">
        <f>IFERROR(('Cuadro 2-Bocas del Toro'!C19)/('Cuadro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5.3681005998937239E-3</v>
      </c>
      <c r="E19" s="14">
        <f>IFERROR(('Cuadro 3-Coclé'!C19)/('Cuadro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4.9667489267177775E-2</v>
      </c>
      <c r="F19" s="14">
        <f>IFERROR(('Cuadro 4-Colón'!D19)/('Cuadro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0.30649776815671903</v>
      </c>
      <c r="G19" s="14">
        <f>IFERROR(('Cuadro 5-Chiriquí'!C19)/('Cuadro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2.4415637222346671</v>
      </c>
      <c r="H19" s="14">
        <f>IFERROR(('Cuadro 6-Darién'!C19)/('Cuadro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5.0855689893730023E-3</v>
      </c>
      <c r="I19" s="14">
        <f>IFERROR(('Cuadro 7-Herrera'!C19)/('Cuadro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0.56011201012292022</v>
      </c>
      <c r="J19" s="14">
        <f>IFERROR(('Cuadro 8-Los Santos'!C19)/('Cuadro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5.6506322104144463E-3</v>
      </c>
      <c r="K19" s="14">
        <f>IFERROR(('Cuadro 9-Panamá'!C19)/('Cuadro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95.992357022030134</v>
      </c>
      <c r="L19" s="19">
        <f>IFERROR(('Cuadro 10-Panamá Oeste'!C19)/('Cuadro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0.61144466765277639</v>
      </c>
      <c r="M19" s="106">
        <f>IFERROR(('Cuadro 11-Veraguas'!C19)/('Cuadro 2-Bocas del Toro'!C19+'Cuadro 3-Coclé'!C19+'Cuadro 4-Colón'!C19+'Cuadro 5-Chiriquí'!C19+'Cuadro 6-Darién'!C19+'Cuadro 7-Herrera'!C19+'Cuadro 8-Los Santos'!C19+'Cuadro 9-Panamá'!C19+'Cuadro 10-Panamá Oeste'!C19+'Cuadro 11-Veraguas'!C19)*100,"")</f>
        <v>0.11475346358778205</v>
      </c>
      <c r="N19" s="47"/>
    </row>
    <row r="20" spans="1:14" ht="32.25" customHeight="1">
      <c r="A20" s="56" t="s">
        <v>66</v>
      </c>
      <c r="B20" s="60" t="s">
        <v>67</v>
      </c>
      <c r="C20" s="14">
        <f>IFERROR(('Cuadro 2-Bocas del Toro'!C20+'Cuadro 3-Coclé'!C20+'Cuadro 4-Colón'!C20+'Cuadro 5-Chiriquí'!C20+'Cuadro 6-Darién'!C20+'Cuadro 7-Herrera'!C20+'Cuadro 8-Los Santos'!C20+'Cuadro 9-Panamá'!C20+'Cuadro 10-Panamá Oeste'!C20+'Cuadro 11-Veraguas'!C20)/('Cuadro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100</v>
      </c>
      <c r="D20" s="14">
        <f>IFERROR(('Cuadro 2-Bocas del Toro'!C20)/('Cuadro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0.16974542718127822</v>
      </c>
      <c r="E20" s="14">
        <f>IFERROR(('Cuadro 3-Coclé'!C20)/('Cuadro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0.25349667368560197</v>
      </c>
      <c r="F20" s="14">
        <f>IFERROR(('Cuadro 4-Colón'!D20)/('Cuadro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4.8132469002494283</v>
      </c>
      <c r="G20" s="14">
        <f>IFERROR(('Cuadro 5-Chiriquí'!C20)/('Cuadro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1.34083314498239</v>
      </c>
      <c r="H20" s="14">
        <f>IFERROR(('Cuadro 6-Darién'!C20)/('Cuadro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3.1502582956116484E-3</v>
      </c>
      <c r="I20" s="14">
        <f>IFERROR(('Cuadro 7-Herrera'!C20)/('Cuadro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0.12977784621607219</v>
      </c>
      <c r="J20" s="14">
        <f>IFERROR(('Cuadro 8-Los Santos'!C20)/('Cuadro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9.7543992669900353E-2</v>
      </c>
      <c r="K20" s="14">
        <f>IFERROR(('Cuadro 9-Panamá'!C20)/('Cuadro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90.694127363009144</v>
      </c>
      <c r="L20" s="19">
        <f>IFERROR(('Cuadro 10-Panamá Oeste'!C20)/('Cuadro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0.61672856908527851</v>
      </c>
      <c r="M20" s="106">
        <f>IFERROR(('Cuadro 11-Veraguas'!C20)/('Cuadro 2-Bocas del Toro'!C20+'Cuadro 3-Coclé'!C20+'Cuadro 4-Colón'!C20+'Cuadro 5-Chiriquí'!C20+'Cuadro 6-Darién'!C20+'Cuadro 7-Herrera'!C20+'Cuadro 8-Los Santos'!C20+'Cuadro 9-Panamá'!C20+'Cuadro 10-Panamá Oeste'!C20+'Cuadro 11-Veraguas'!C20)*100,"")</f>
        <v>1.2773086997867811</v>
      </c>
      <c r="N20" s="47"/>
    </row>
    <row r="21" spans="1:14" ht="32.25" customHeight="1">
      <c r="A21" s="66" t="s">
        <v>61</v>
      </c>
      <c r="B21" s="67" t="s">
        <v>62</v>
      </c>
      <c r="C21" s="145">
        <f>IFERROR(('Cuadro 2-Bocas del Toro'!C21+'Cuadro 3-Coclé'!C21+'Cuadro 4-Colón'!C21+'Cuadro 5-Chiriquí'!C21+'Cuadro 6-Darién'!C21+'Cuadro 7-Herrera'!C21+'Cuadro 8-Los Santos'!C21+'Cuadro 9-Panamá'!C21+'Cuadro 10-Panamá Oeste'!C21+'Cuadro 11-Veraguas'!C21)/('Cuadro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100</v>
      </c>
      <c r="D21" s="145">
        <f>IFERROR(('Cuadro 2-Bocas del Toro'!C21)/('Cuadro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3.0950262038959755</v>
      </c>
      <c r="E21" s="145">
        <f>IFERROR(('Cuadro 3-Coclé'!C21)/('Cuadro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7.9831240317742855</v>
      </c>
      <c r="F21" s="145">
        <f>IFERROR(('Cuadro 4-Colón'!D21)/('Cuadro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5.290612114059245</v>
      </c>
      <c r="G21" s="145">
        <f>IFERROR(('Cuadro 5-Chiriquí'!C21)/('Cuadro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9.8305811002340242</v>
      </c>
      <c r="H21" s="145">
        <f>IFERROR(('Cuadro 6-Darién'!C21)/('Cuadro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0.49935726292890348</v>
      </c>
      <c r="I21" s="145">
        <f>IFERROR(('Cuadro 7-Herrera'!C21)/('Cuadro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3.268070799960447</v>
      </c>
      <c r="J21" s="145">
        <f>IFERROR(('Cuadro 8-Los Santos'!C21)/('Cuadro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3.1790764362701478</v>
      </c>
      <c r="K21" s="145">
        <f>IFERROR(('Cuadro 9-Panamá'!C21)/('Cuadro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46.403968489403084</v>
      </c>
      <c r="L21" s="132">
        <f>IFERROR(('Cuadro 10-Panamá Oeste'!C21)/('Cuadro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15.890438050034614</v>
      </c>
      <c r="M21" s="117">
        <f>IFERROR(('Cuadro 11-Veraguas'!C21)/('Cuadro 2-Bocas del Toro'!C21+'Cuadro 3-Coclé'!C21+'Cuadro 4-Colón'!C21+'Cuadro 5-Chiriquí'!C21+'Cuadro 6-Darién'!C21+'Cuadro 7-Herrera'!C21+'Cuadro 8-Los Santos'!C21+'Cuadro 9-Panamá'!C21+'Cuadro 10-Panamá Oeste'!C21+'Cuadro 11-Veraguas'!C21)*100,"")</f>
        <v>5.7286001516200269</v>
      </c>
      <c r="N21" s="47"/>
    </row>
    <row r="22" spans="1:14" ht="32.25" customHeight="1">
      <c r="A22" s="25"/>
      <c r="B22" s="22" t="s">
        <v>93</v>
      </c>
      <c r="C22" s="145">
        <f>IFERROR(('Cuadro 2-Bocas del Toro'!C22+'Cuadro 3-Coclé'!C22+'Cuadro 4-Colón'!C22+'Cuadro 5-Chiriquí'!C22+'Cuadro 6-Darién'!C22+'Cuadro 7-Herrera'!C22+'Cuadro 8-Los Santos'!C22+'Cuadro 9-Panamá'!C22+'Cuadro 10-Panamá Oeste'!C22+'Cuadro 11-Veraguas'!C22)/('Cuadro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100</v>
      </c>
      <c r="D22" s="145">
        <f>IFERROR(('Cuadro 2-Bocas del Toro'!C22)/('Cuadro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3.5763907807987794</v>
      </c>
      <c r="E22" s="145">
        <f>IFERROR(('Cuadro 3-Coclé'!C22)/('Cuadro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6.1464746907862482</v>
      </c>
      <c r="F22" s="145">
        <f>IFERROR(('Cuadro 4-Colón'!D22)/('Cuadro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5.6315993974055711</v>
      </c>
      <c r="G22" s="145">
        <f>IFERROR(('Cuadro 5-Chiriquí'!C22)/('Cuadro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11.981760475126677</v>
      </c>
      <c r="H22" s="145">
        <f>IFERROR(('Cuadro 6-Darién'!C22)/('Cuadro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1.4187053887647798</v>
      </c>
      <c r="I22" s="145">
        <f>IFERROR(('Cuadro 7-Herrera'!C22)/('Cuadro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3.4755898218274939</v>
      </c>
      <c r="J22" s="145">
        <f>IFERROR(('Cuadro 8-Los Santos'!C22)/('Cuadro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3.093840244101782</v>
      </c>
      <c r="K22" s="145">
        <f>IFERROR(('Cuadro 9-Panamá'!C22)/('Cuadro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41.93796654497902</v>
      </c>
      <c r="L22" s="132">
        <f>IFERROR(('Cuadro 10-Panamá Oeste'!C22)/('Cuadro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16.533741077752957</v>
      </c>
      <c r="M22" s="117">
        <f>IFERROR(('Cuadro 11-Veraguas'!C22)/('Cuadro 2-Bocas del Toro'!C22+'Cuadro 3-Coclé'!C22+'Cuadro 4-Colón'!C22+'Cuadro 5-Chiriquí'!C22+'Cuadro 6-Darién'!C22+'Cuadro 7-Herrera'!C22+'Cuadro 8-Los Santos'!C22+'Cuadro 9-Panamá'!C22+'Cuadro 10-Panamá Oeste'!C22+'Cuadro 11-Veraguas'!C22)*100,"")</f>
        <v>5.9451452078679248</v>
      </c>
      <c r="N22" s="47"/>
    </row>
    <row r="23" spans="1:14" s="36" customFormat="1" ht="32.25" customHeight="1">
      <c r="A23" s="34"/>
      <c r="B23" s="27" t="s">
        <v>33</v>
      </c>
      <c r="C23" s="146">
        <f>IFERROR(('Cuadro 2-Bocas del Toro'!C23+'Cuadro 3-Coclé'!C23+'Cuadro 4-Colón'!C23+'Cuadro 5-Chiriquí'!C23+'Cuadro 6-Darién'!C23+'Cuadro 7-Herrera'!C23+'Cuadro 8-Los Santos'!C23+'Cuadro 9-Panamá'!C23+'Cuadro 10-Panamá Oeste'!C23+'Cuadro 11-Veraguas'!C23)/('Cuadro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100</v>
      </c>
      <c r="D23" s="146">
        <f>IFERROR(('Cuadro 2-Bocas del Toro'!C23)/('Cuadro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1.2787999886447778</v>
      </c>
      <c r="E23" s="146">
        <f>IFERROR(('Cuadro 3-Coclé'!C23)/('Cuadro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3.2638392896352313</v>
      </c>
      <c r="F23" s="146">
        <f>IFERROR(('Cuadro 4-Colón'!D23)/('Cuadro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15.332090775286797</v>
      </c>
      <c r="G23" s="146">
        <f>IFERROR(('Cuadro 5-Chiriquí'!C23)/('Cuadro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5.6958335034879077</v>
      </c>
      <c r="H23" s="146">
        <f>IFERROR(('Cuadro 6-Darién'!C23)/('Cuadro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0.3578847634993525</v>
      </c>
      <c r="I23" s="146">
        <f>IFERROR(('Cuadro 7-Herrera'!C23)/('Cuadro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1.1221090845812478</v>
      </c>
      <c r="J23" s="146">
        <f>IFERROR(('Cuadro 8-Los Santos'!C23)/('Cuadro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1.0556455675900389</v>
      </c>
      <c r="K23" s="146">
        <f>IFERROR(('Cuadro 9-Panamá'!C23)/('Cuadro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59.893481441450028</v>
      </c>
      <c r="L23" s="144">
        <f>IFERROR(('Cuadro 10-Panamá Oeste'!C23)/('Cuadro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8.9702551456138444</v>
      </c>
      <c r="M23" s="129">
        <f>IFERROR(('Cuadro 11-Veraguas'!C23)/('Cuadro 2-Bocas del Toro'!C23+'Cuadro 3-Coclé'!C23+'Cuadro 4-Colón'!C23+'Cuadro 5-Chiriquí'!C23+'Cuadro 6-Darién'!C23+'Cuadro 7-Herrera'!C23+'Cuadro 8-Los Santos'!C23+'Cuadro 9-Panamá'!C23+'Cuadro 10-Panamá Oeste'!C23+'Cuadro 11-Veraguas'!C23)*100,"")</f>
        <v>2.6404024751686892</v>
      </c>
      <c r="N23" s="47"/>
    </row>
    <row r="24" spans="1:14" ht="32.25" customHeight="1">
      <c r="A24" s="21" t="s">
        <v>25</v>
      </c>
      <c r="B24" s="37" t="s">
        <v>34</v>
      </c>
      <c r="C24" s="145">
        <f>IFERROR(('Cuadro 2-Bocas del Toro'!C24+'Cuadro 3-Coclé'!C24+'Cuadro 4-Colón'!C24+'Cuadro 5-Chiriquí'!C24+'Cuadro 6-Darién'!C24+'Cuadro 7-Herrera'!C24+'Cuadro 8-Los Santos'!C24+'Cuadro 9-Panamá'!C24+'Cuadro 10-Panamá Oeste'!C24+'Cuadro 11-Veraguas'!C24)/('Cuadro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100</v>
      </c>
      <c r="D24" s="145">
        <f>IFERROR(('Cuadro 2-Bocas del Toro'!C24)/('Cuadro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1.5942274242611236</v>
      </c>
      <c r="E24" s="145">
        <f>IFERROR(('Cuadro 3-Coclé'!C24)/('Cuadro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3.1835294328022576</v>
      </c>
      <c r="F24" s="145">
        <f>IFERROR(('Cuadro 4-Colón'!D24)/('Cuadro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8.5535367453378477</v>
      </c>
      <c r="G24" s="145">
        <f>IFERROR(('Cuadro 5-Chiriquí'!C24)/('Cuadro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7.5953438068725792</v>
      </c>
      <c r="H24" s="145">
        <f>IFERROR(('Cuadro 6-Darién'!C24)/('Cuadro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0.2938528601274048</v>
      </c>
      <c r="I24" s="145">
        <f>IFERROR(('Cuadro 7-Herrera'!C24)/('Cuadro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1.9871096246030686</v>
      </c>
      <c r="J24" s="145">
        <f>IFERROR(('Cuadro 8-Los Santos'!C24)/('Cuadro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1.2975145957280978</v>
      </c>
      <c r="K24" s="145">
        <f>IFERROR(('Cuadro 9-Panamá'!C24)/('Cuadro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58.792692182483641</v>
      </c>
      <c r="L24" s="132">
        <f>IFERROR(('Cuadro 10-Panamá Oeste'!C24)/('Cuadro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13.377048104590411</v>
      </c>
      <c r="M24" s="117">
        <f>IFERROR(('Cuadro 11-Veraguas'!C24)/('Cuadro 2-Bocas del Toro'!C24+'Cuadro 3-Coclé'!C24+'Cuadro 4-Colón'!C24+'Cuadro 5-Chiriquí'!C24+'Cuadro 6-Darién'!C24+'Cuadro 7-Herrera'!C24+'Cuadro 8-Los Santos'!C24+'Cuadro 9-Panamá'!C24+'Cuadro 10-Panamá Oeste'!C24+'Cuadro 11-Veraguas'!C24)*100,"")</f>
        <v>3.0066307786121866</v>
      </c>
      <c r="N24" s="47"/>
    </row>
    <row r="25" spans="1:14" ht="50.25" customHeight="1">
      <c r="A25" s="30"/>
      <c r="B25" s="38" t="s">
        <v>35</v>
      </c>
      <c r="C25" s="146">
        <f>IFERROR(('Cuadro 2-Bocas del Toro'!C25+'Cuadro 3-Coclé'!C25+'Cuadro 4-Colón'!C25+'Cuadro 5-Chiriquí'!C25+'Cuadro 6-Darién'!C25+'Cuadro 7-Herrera'!C25+'Cuadro 8-Los Santos'!C25+'Cuadro 9-Panamá'!C25+'Cuadro 10-Panamá Oeste'!C25+'Cuadro 11-Veraguas'!C25)/('Cuadro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100</v>
      </c>
      <c r="D25" s="146">
        <f>IFERROR(('Cuadro 2-Bocas del Toro'!C25)/('Cuadro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1.289573918115257</v>
      </c>
      <c r="E25" s="146">
        <f>IFERROR(('Cuadro 3-Coclé'!C25)/('Cuadro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3.2610961777952236</v>
      </c>
      <c r="F25" s="146">
        <f>IFERROR(('Cuadro 4-Colón'!D25)/('Cuadro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15.111022186152271</v>
      </c>
      <c r="G25" s="146">
        <f>IFERROR(('Cuadro 5-Chiriquí'!C25)/('Cuadro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5.7607143214710543</v>
      </c>
      <c r="H25" s="146">
        <f>IFERROR(('Cuadro 6-Darién'!C25)/('Cuadro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0.35569765124184743</v>
      </c>
      <c r="I25" s="146">
        <f>IFERROR(('Cuadro 7-Herrera'!C25)/('Cuadro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1.1516545640095395</v>
      </c>
      <c r="J25" s="146">
        <f>IFERROR(('Cuadro 8-Los Santos'!C25)/('Cuadro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1.0639069917910153</v>
      </c>
      <c r="K25" s="146">
        <f>IFERROR(('Cuadro 9-Panamá'!C25)/('Cuadro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59.855882220523696</v>
      </c>
      <c r="L25" s="144">
        <f>IFERROR(('Cuadro 10-Panamá Oeste'!C25)/('Cuadro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9.1207762200988363</v>
      </c>
      <c r="M25" s="129">
        <f>IFERROR(('Cuadro 11-Veraguas'!C25)/('Cuadro 2-Bocas del Toro'!C25+'Cuadro 3-Coclé'!C25+'Cuadro 4-Colón'!C25+'Cuadro 5-Chiriquí'!C25+'Cuadro 6-Darién'!C25+'Cuadro 7-Herrera'!C25+'Cuadro 8-Los Santos'!C25+'Cuadro 9-Panamá'!C25+'Cuadro 10-Panamá Oeste'!C25+'Cuadro 11-Veraguas'!C25)*100,"")</f>
        <v>2.6529115896776525</v>
      </c>
      <c r="N25" s="47"/>
    </row>
    <row r="26" spans="1:14" ht="14.25" customHeight="1">
      <c r="A26" s="7"/>
      <c r="B26" s="17"/>
      <c r="C26" s="39"/>
      <c r="D26" s="41"/>
      <c r="E26" s="39"/>
      <c r="F26" s="39"/>
      <c r="G26" s="39"/>
      <c r="H26" s="39"/>
      <c r="I26" s="39"/>
      <c r="J26" s="39"/>
      <c r="K26" s="39"/>
      <c r="L26" s="39"/>
      <c r="M26" s="39"/>
      <c r="N26" s="113"/>
    </row>
    <row r="27" spans="1:14" ht="12.75" customHeight="1">
      <c r="A27" s="222" t="s">
        <v>65</v>
      </c>
      <c r="B27" s="222"/>
      <c r="C27" s="222"/>
      <c r="D27" s="222"/>
      <c r="E27" s="222"/>
      <c r="F27" s="222"/>
      <c r="G27" s="9"/>
      <c r="H27" s="9"/>
      <c r="I27" s="8"/>
      <c r="J27" s="8"/>
      <c r="K27" s="8"/>
      <c r="L27" s="8"/>
    </row>
    <row r="28" spans="1:14" s="9" customFormat="1" ht="14.25" customHeight="1">
      <c r="A28" s="64" t="s">
        <v>82</v>
      </c>
      <c r="B28" s="43"/>
      <c r="C28" s="43"/>
      <c r="D28" s="43"/>
      <c r="E28" s="43"/>
      <c r="F28" s="43"/>
      <c r="I28" s="12"/>
      <c r="J28" s="12"/>
      <c r="K28" s="12"/>
      <c r="L28" s="12"/>
      <c r="N28" s="92"/>
    </row>
    <row r="29" spans="1:14" s="9" customFormat="1" ht="14.25" customHeight="1">
      <c r="A29" s="64" t="s">
        <v>81</v>
      </c>
      <c r="B29" s="43"/>
      <c r="C29" s="43"/>
      <c r="D29" s="43"/>
      <c r="E29" s="43"/>
      <c r="F29" s="43"/>
      <c r="I29" s="10"/>
      <c r="J29" s="10"/>
      <c r="K29" s="1"/>
      <c r="L29" s="1"/>
      <c r="N29" s="92"/>
    </row>
    <row r="30" spans="1:14" s="9" customFormat="1" ht="14.25" customHeight="1">
      <c r="A30" s="64" t="s">
        <v>351</v>
      </c>
      <c r="B30" s="64"/>
      <c r="C30" s="64"/>
      <c r="D30" s="64"/>
      <c r="E30" s="64"/>
      <c r="F30" s="64"/>
      <c r="I30" s="10"/>
      <c r="J30" s="10"/>
      <c r="K30" s="1"/>
      <c r="L30" s="1"/>
      <c r="N30" s="92"/>
    </row>
    <row r="31" spans="1:14" s="9" customFormat="1" ht="14.25" customHeight="1">
      <c r="A31" s="64" t="s">
        <v>98</v>
      </c>
      <c r="B31" s="64"/>
      <c r="C31" s="64"/>
      <c r="D31" s="64"/>
      <c r="E31" s="64"/>
      <c r="F31" s="64"/>
      <c r="G31" s="10"/>
      <c r="H31" s="10"/>
      <c r="I31" s="10"/>
      <c r="J31" s="10"/>
      <c r="K31" s="1"/>
      <c r="L31" s="1"/>
      <c r="N31" s="92"/>
    </row>
    <row r="32" spans="1:14" s="9" customFormat="1" ht="14.25" customHeight="1">
      <c r="A32" s="18" t="s">
        <v>99</v>
      </c>
      <c r="B32" s="45"/>
      <c r="G32" s="10"/>
      <c r="H32" s="10"/>
      <c r="I32" s="10"/>
      <c r="J32" s="10"/>
      <c r="K32" s="1"/>
      <c r="L32" s="1"/>
      <c r="N32" s="92"/>
    </row>
    <row r="33" spans="1:14" s="9" customFormat="1" ht="14.25" customHeight="1">
      <c r="A33" s="18" t="s">
        <v>36</v>
      </c>
      <c r="B33" s="104"/>
      <c r="G33" s="10"/>
      <c r="H33" s="10"/>
      <c r="I33" s="10"/>
      <c r="J33" s="10"/>
      <c r="K33" s="1"/>
      <c r="L33" s="1"/>
      <c r="N33" s="92"/>
    </row>
    <row r="34" spans="1:14" s="9" customFormat="1" ht="14.25" customHeight="1">
      <c r="A34" s="9" t="s">
        <v>37</v>
      </c>
      <c r="B34" s="46"/>
      <c r="C34" s="68"/>
      <c r="D34" s="68"/>
      <c r="E34" s="5"/>
      <c r="F34" s="5"/>
      <c r="G34" s="10"/>
      <c r="H34" s="10"/>
      <c r="I34" s="10"/>
      <c r="J34" s="10"/>
      <c r="K34" s="1"/>
      <c r="L34" s="1"/>
      <c r="N34" s="92"/>
    </row>
    <row r="35" spans="1:14" ht="14.25" customHeight="1">
      <c r="A35" s="9" t="s">
        <v>86</v>
      </c>
      <c r="B35" s="101"/>
      <c r="C35" s="68"/>
      <c r="D35" s="68"/>
      <c r="E35" s="5"/>
      <c r="F35" s="5"/>
      <c r="G35" s="103"/>
      <c r="H35" s="103"/>
      <c r="I35" s="103"/>
      <c r="J35" s="103"/>
      <c r="K35" s="103"/>
      <c r="L35" s="103"/>
      <c r="M35" s="103"/>
    </row>
    <row r="36" spans="1:14" ht="14.25" customHeight="1">
      <c r="A36" s="18"/>
      <c r="B36" s="64"/>
      <c r="C36" s="64"/>
      <c r="D36" s="64"/>
      <c r="E36" s="68"/>
      <c r="F36" s="68"/>
      <c r="G36" s="48"/>
      <c r="H36" s="48"/>
      <c r="I36" s="48"/>
      <c r="J36" s="48"/>
      <c r="K36" s="48"/>
      <c r="L36" s="48"/>
      <c r="M36" s="48"/>
    </row>
    <row r="37" spans="1:14">
      <c r="A37" s="64"/>
      <c r="B37" s="107"/>
      <c r="C37" s="107"/>
      <c r="D37" s="107"/>
      <c r="E37" s="107"/>
      <c r="F37" s="107"/>
      <c r="G37" s="51"/>
      <c r="H37" s="51"/>
      <c r="I37" s="51"/>
      <c r="J37" s="51"/>
      <c r="K37" s="51"/>
      <c r="L37" s="51"/>
      <c r="M37" s="51"/>
    </row>
    <row r="38" spans="1:14">
      <c r="A38" s="18"/>
      <c r="D38" s="103"/>
      <c r="E38" s="103"/>
      <c r="F38" s="103"/>
      <c r="G38" s="51"/>
      <c r="H38" s="51"/>
      <c r="I38" s="51"/>
      <c r="J38" s="51"/>
      <c r="K38" s="51"/>
      <c r="L38" s="51"/>
      <c r="M38" s="51"/>
    </row>
    <row r="39" spans="1:14">
      <c r="C39" s="48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4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</sheetData>
  <mergeCells count="4">
    <mergeCell ref="A27:F27"/>
    <mergeCell ref="A5:A6"/>
    <mergeCell ref="C5:M5"/>
    <mergeCell ref="B5:B6"/>
  </mergeCells>
  <hyperlinks>
    <hyperlink ref="O5" location="Índice!A1" display="Índice"/>
  </hyperlinks>
  <printOptions horizontalCentered="1"/>
  <pageMargins left="0.70866141732283472" right="0.70866141732283472" top="0.74803149606299213" bottom="0.74803149606299213" header="0.31496062992125984" footer="0.31496062992125984"/>
  <pageSetup scale="37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O42"/>
  <sheetViews>
    <sheetView zoomScaleNormal="100" zoomScaleSheetLayoutView="62" workbookViewId="0"/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89"/>
    <col min="15" max="236" width="11" style="1"/>
    <col min="237" max="237" width="17" style="1" customWidth="1"/>
    <col min="238" max="238" width="48.28515625" style="1" customWidth="1"/>
    <col min="239" max="245" width="13.5703125" style="1" customWidth="1"/>
    <col min="246" max="246" width="15.42578125" style="1" customWidth="1"/>
    <col min="247" max="249" width="13.5703125" style="1" customWidth="1"/>
    <col min="250" max="492" width="11" style="1"/>
    <col min="493" max="493" width="17" style="1" customWidth="1"/>
    <col min="494" max="494" width="48.28515625" style="1" customWidth="1"/>
    <col min="495" max="501" width="13.5703125" style="1" customWidth="1"/>
    <col min="502" max="502" width="15.42578125" style="1" customWidth="1"/>
    <col min="503" max="505" width="13.5703125" style="1" customWidth="1"/>
    <col min="506" max="748" width="11" style="1"/>
    <col min="749" max="749" width="17" style="1" customWidth="1"/>
    <col min="750" max="750" width="48.28515625" style="1" customWidth="1"/>
    <col min="751" max="757" width="13.5703125" style="1" customWidth="1"/>
    <col min="758" max="758" width="15.42578125" style="1" customWidth="1"/>
    <col min="759" max="761" width="13.5703125" style="1" customWidth="1"/>
    <col min="762" max="1004" width="11" style="1"/>
    <col min="1005" max="1005" width="17" style="1" customWidth="1"/>
    <col min="1006" max="1006" width="48.28515625" style="1" customWidth="1"/>
    <col min="1007" max="1013" width="13.5703125" style="1" customWidth="1"/>
    <col min="1014" max="1014" width="15.42578125" style="1" customWidth="1"/>
    <col min="1015" max="1017" width="13.5703125" style="1" customWidth="1"/>
    <col min="1018" max="1260" width="11" style="1"/>
    <col min="1261" max="1261" width="17" style="1" customWidth="1"/>
    <col min="1262" max="1262" width="48.28515625" style="1" customWidth="1"/>
    <col min="1263" max="1269" width="13.5703125" style="1" customWidth="1"/>
    <col min="1270" max="1270" width="15.42578125" style="1" customWidth="1"/>
    <col min="1271" max="1273" width="13.5703125" style="1" customWidth="1"/>
    <col min="1274" max="1516" width="11" style="1"/>
    <col min="1517" max="1517" width="17" style="1" customWidth="1"/>
    <col min="1518" max="1518" width="48.28515625" style="1" customWidth="1"/>
    <col min="1519" max="1525" width="13.5703125" style="1" customWidth="1"/>
    <col min="1526" max="1526" width="15.42578125" style="1" customWidth="1"/>
    <col min="1527" max="1529" width="13.5703125" style="1" customWidth="1"/>
    <col min="1530" max="1772" width="11" style="1"/>
    <col min="1773" max="1773" width="17" style="1" customWidth="1"/>
    <col min="1774" max="1774" width="48.28515625" style="1" customWidth="1"/>
    <col min="1775" max="1781" width="13.5703125" style="1" customWidth="1"/>
    <col min="1782" max="1782" width="15.42578125" style="1" customWidth="1"/>
    <col min="1783" max="1785" width="13.5703125" style="1" customWidth="1"/>
    <col min="1786" max="2028" width="11" style="1"/>
    <col min="2029" max="2029" width="17" style="1" customWidth="1"/>
    <col min="2030" max="2030" width="48.28515625" style="1" customWidth="1"/>
    <col min="2031" max="2037" width="13.5703125" style="1" customWidth="1"/>
    <col min="2038" max="2038" width="15.42578125" style="1" customWidth="1"/>
    <col min="2039" max="2041" width="13.5703125" style="1" customWidth="1"/>
    <col min="2042" max="2284" width="11" style="1"/>
    <col min="2285" max="2285" width="17" style="1" customWidth="1"/>
    <col min="2286" max="2286" width="48.28515625" style="1" customWidth="1"/>
    <col min="2287" max="2293" width="13.5703125" style="1" customWidth="1"/>
    <col min="2294" max="2294" width="15.42578125" style="1" customWidth="1"/>
    <col min="2295" max="2297" width="13.5703125" style="1" customWidth="1"/>
    <col min="2298" max="2540" width="11" style="1"/>
    <col min="2541" max="2541" width="17" style="1" customWidth="1"/>
    <col min="2542" max="2542" width="48.28515625" style="1" customWidth="1"/>
    <col min="2543" max="2549" width="13.5703125" style="1" customWidth="1"/>
    <col min="2550" max="2550" width="15.42578125" style="1" customWidth="1"/>
    <col min="2551" max="2553" width="13.5703125" style="1" customWidth="1"/>
    <col min="2554" max="2796" width="11" style="1"/>
    <col min="2797" max="2797" width="17" style="1" customWidth="1"/>
    <col min="2798" max="2798" width="48.28515625" style="1" customWidth="1"/>
    <col min="2799" max="2805" width="13.5703125" style="1" customWidth="1"/>
    <col min="2806" max="2806" width="15.42578125" style="1" customWidth="1"/>
    <col min="2807" max="2809" width="13.5703125" style="1" customWidth="1"/>
    <col min="2810" max="3052" width="11" style="1"/>
    <col min="3053" max="3053" width="17" style="1" customWidth="1"/>
    <col min="3054" max="3054" width="48.28515625" style="1" customWidth="1"/>
    <col min="3055" max="3061" width="13.5703125" style="1" customWidth="1"/>
    <col min="3062" max="3062" width="15.42578125" style="1" customWidth="1"/>
    <col min="3063" max="3065" width="13.5703125" style="1" customWidth="1"/>
    <col min="3066" max="3308" width="11" style="1"/>
    <col min="3309" max="3309" width="17" style="1" customWidth="1"/>
    <col min="3310" max="3310" width="48.28515625" style="1" customWidth="1"/>
    <col min="3311" max="3317" width="13.5703125" style="1" customWidth="1"/>
    <col min="3318" max="3318" width="15.42578125" style="1" customWidth="1"/>
    <col min="3319" max="3321" width="13.5703125" style="1" customWidth="1"/>
    <col min="3322" max="3564" width="11" style="1"/>
    <col min="3565" max="3565" width="17" style="1" customWidth="1"/>
    <col min="3566" max="3566" width="48.28515625" style="1" customWidth="1"/>
    <col min="3567" max="3573" width="13.5703125" style="1" customWidth="1"/>
    <col min="3574" max="3574" width="15.42578125" style="1" customWidth="1"/>
    <col min="3575" max="3577" width="13.5703125" style="1" customWidth="1"/>
    <col min="3578" max="3820" width="11" style="1"/>
    <col min="3821" max="3821" width="17" style="1" customWidth="1"/>
    <col min="3822" max="3822" width="48.28515625" style="1" customWidth="1"/>
    <col min="3823" max="3829" width="13.5703125" style="1" customWidth="1"/>
    <col min="3830" max="3830" width="15.42578125" style="1" customWidth="1"/>
    <col min="3831" max="3833" width="13.5703125" style="1" customWidth="1"/>
    <col min="3834" max="4076" width="11" style="1"/>
    <col min="4077" max="4077" width="17" style="1" customWidth="1"/>
    <col min="4078" max="4078" width="48.28515625" style="1" customWidth="1"/>
    <col min="4079" max="4085" width="13.5703125" style="1" customWidth="1"/>
    <col min="4086" max="4086" width="15.42578125" style="1" customWidth="1"/>
    <col min="4087" max="4089" width="13.5703125" style="1" customWidth="1"/>
    <col min="4090" max="4332" width="11" style="1"/>
    <col min="4333" max="4333" width="17" style="1" customWidth="1"/>
    <col min="4334" max="4334" width="48.28515625" style="1" customWidth="1"/>
    <col min="4335" max="4341" width="13.5703125" style="1" customWidth="1"/>
    <col min="4342" max="4342" width="15.42578125" style="1" customWidth="1"/>
    <col min="4343" max="4345" width="13.5703125" style="1" customWidth="1"/>
    <col min="4346" max="4588" width="11" style="1"/>
    <col min="4589" max="4589" width="17" style="1" customWidth="1"/>
    <col min="4590" max="4590" width="48.28515625" style="1" customWidth="1"/>
    <col min="4591" max="4597" width="13.5703125" style="1" customWidth="1"/>
    <col min="4598" max="4598" width="15.42578125" style="1" customWidth="1"/>
    <col min="4599" max="4601" width="13.5703125" style="1" customWidth="1"/>
    <col min="4602" max="4844" width="11" style="1"/>
    <col min="4845" max="4845" width="17" style="1" customWidth="1"/>
    <col min="4846" max="4846" width="48.28515625" style="1" customWidth="1"/>
    <col min="4847" max="4853" width="13.5703125" style="1" customWidth="1"/>
    <col min="4854" max="4854" width="15.42578125" style="1" customWidth="1"/>
    <col min="4855" max="4857" width="13.5703125" style="1" customWidth="1"/>
    <col min="4858" max="5100" width="11" style="1"/>
    <col min="5101" max="5101" width="17" style="1" customWidth="1"/>
    <col min="5102" max="5102" width="48.28515625" style="1" customWidth="1"/>
    <col min="5103" max="5109" width="13.5703125" style="1" customWidth="1"/>
    <col min="5110" max="5110" width="15.42578125" style="1" customWidth="1"/>
    <col min="5111" max="5113" width="13.5703125" style="1" customWidth="1"/>
    <col min="5114" max="5356" width="11" style="1"/>
    <col min="5357" max="5357" width="17" style="1" customWidth="1"/>
    <col min="5358" max="5358" width="48.28515625" style="1" customWidth="1"/>
    <col min="5359" max="5365" width="13.5703125" style="1" customWidth="1"/>
    <col min="5366" max="5366" width="15.42578125" style="1" customWidth="1"/>
    <col min="5367" max="5369" width="13.5703125" style="1" customWidth="1"/>
    <col min="5370" max="5612" width="11" style="1"/>
    <col min="5613" max="5613" width="17" style="1" customWidth="1"/>
    <col min="5614" max="5614" width="48.28515625" style="1" customWidth="1"/>
    <col min="5615" max="5621" width="13.5703125" style="1" customWidth="1"/>
    <col min="5622" max="5622" width="15.42578125" style="1" customWidth="1"/>
    <col min="5623" max="5625" width="13.5703125" style="1" customWidth="1"/>
    <col min="5626" max="5868" width="11" style="1"/>
    <col min="5869" max="5869" width="17" style="1" customWidth="1"/>
    <col min="5870" max="5870" width="48.28515625" style="1" customWidth="1"/>
    <col min="5871" max="5877" width="13.5703125" style="1" customWidth="1"/>
    <col min="5878" max="5878" width="15.42578125" style="1" customWidth="1"/>
    <col min="5879" max="5881" width="13.5703125" style="1" customWidth="1"/>
    <col min="5882" max="6124" width="11" style="1"/>
    <col min="6125" max="6125" width="17" style="1" customWidth="1"/>
    <col min="6126" max="6126" width="48.28515625" style="1" customWidth="1"/>
    <col min="6127" max="6133" width="13.5703125" style="1" customWidth="1"/>
    <col min="6134" max="6134" width="15.42578125" style="1" customWidth="1"/>
    <col min="6135" max="6137" width="13.5703125" style="1" customWidth="1"/>
    <col min="6138" max="6380" width="11" style="1"/>
    <col min="6381" max="6381" width="17" style="1" customWidth="1"/>
    <col min="6382" max="6382" width="48.28515625" style="1" customWidth="1"/>
    <col min="6383" max="6389" width="13.5703125" style="1" customWidth="1"/>
    <col min="6390" max="6390" width="15.42578125" style="1" customWidth="1"/>
    <col min="6391" max="6393" width="13.5703125" style="1" customWidth="1"/>
    <col min="6394" max="6636" width="11" style="1"/>
    <col min="6637" max="6637" width="17" style="1" customWidth="1"/>
    <col min="6638" max="6638" width="48.28515625" style="1" customWidth="1"/>
    <col min="6639" max="6645" width="13.5703125" style="1" customWidth="1"/>
    <col min="6646" max="6646" width="15.42578125" style="1" customWidth="1"/>
    <col min="6647" max="6649" width="13.5703125" style="1" customWidth="1"/>
    <col min="6650" max="6892" width="11" style="1"/>
    <col min="6893" max="6893" width="17" style="1" customWidth="1"/>
    <col min="6894" max="6894" width="48.28515625" style="1" customWidth="1"/>
    <col min="6895" max="6901" width="13.5703125" style="1" customWidth="1"/>
    <col min="6902" max="6902" width="15.42578125" style="1" customWidth="1"/>
    <col min="6903" max="6905" width="13.5703125" style="1" customWidth="1"/>
    <col min="6906" max="7148" width="11" style="1"/>
    <col min="7149" max="7149" width="17" style="1" customWidth="1"/>
    <col min="7150" max="7150" width="48.28515625" style="1" customWidth="1"/>
    <col min="7151" max="7157" width="13.5703125" style="1" customWidth="1"/>
    <col min="7158" max="7158" width="15.42578125" style="1" customWidth="1"/>
    <col min="7159" max="7161" width="13.5703125" style="1" customWidth="1"/>
    <col min="7162" max="7404" width="11" style="1"/>
    <col min="7405" max="7405" width="17" style="1" customWidth="1"/>
    <col min="7406" max="7406" width="48.28515625" style="1" customWidth="1"/>
    <col min="7407" max="7413" width="13.5703125" style="1" customWidth="1"/>
    <col min="7414" max="7414" width="15.42578125" style="1" customWidth="1"/>
    <col min="7415" max="7417" width="13.5703125" style="1" customWidth="1"/>
    <col min="7418" max="7660" width="11" style="1"/>
    <col min="7661" max="7661" width="17" style="1" customWidth="1"/>
    <col min="7662" max="7662" width="48.28515625" style="1" customWidth="1"/>
    <col min="7663" max="7669" width="13.5703125" style="1" customWidth="1"/>
    <col min="7670" max="7670" width="15.42578125" style="1" customWidth="1"/>
    <col min="7671" max="7673" width="13.5703125" style="1" customWidth="1"/>
    <col min="7674" max="7916" width="11" style="1"/>
    <col min="7917" max="7917" width="17" style="1" customWidth="1"/>
    <col min="7918" max="7918" width="48.28515625" style="1" customWidth="1"/>
    <col min="7919" max="7925" width="13.5703125" style="1" customWidth="1"/>
    <col min="7926" max="7926" width="15.42578125" style="1" customWidth="1"/>
    <col min="7927" max="7929" width="13.5703125" style="1" customWidth="1"/>
    <col min="7930" max="8172" width="11" style="1"/>
    <col min="8173" max="8173" width="17" style="1" customWidth="1"/>
    <col min="8174" max="8174" width="48.28515625" style="1" customWidth="1"/>
    <col min="8175" max="8181" width="13.5703125" style="1" customWidth="1"/>
    <col min="8182" max="8182" width="15.42578125" style="1" customWidth="1"/>
    <col min="8183" max="8185" width="13.5703125" style="1" customWidth="1"/>
    <col min="8186" max="8428" width="11" style="1"/>
    <col min="8429" max="8429" width="17" style="1" customWidth="1"/>
    <col min="8430" max="8430" width="48.28515625" style="1" customWidth="1"/>
    <col min="8431" max="8437" width="13.5703125" style="1" customWidth="1"/>
    <col min="8438" max="8438" width="15.42578125" style="1" customWidth="1"/>
    <col min="8439" max="8441" width="13.5703125" style="1" customWidth="1"/>
    <col min="8442" max="8684" width="11" style="1"/>
    <col min="8685" max="8685" width="17" style="1" customWidth="1"/>
    <col min="8686" max="8686" width="48.28515625" style="1" customWidth="1"/>
    <col min="8687" max="8693" width="13.5703125" style="1" customWidth="1"/>
    <col min="8694" max="8694" width="15.42578125" style="1" customWidth="1"/>
    <col min="8695" max="8697" width="13.5703125" style="1" customWidth="1"/>
    <col min="8698" max="8940" width="11" style="1"/>
    <col min="8941" max="8941" width="17" style="1" customWidth="1"/>
    <col min="8942" max="8942" width="48.28515625" style="1" customWidth="1"/>
    <col min="8943" max="8949" width="13.5703125" style="1" customWidth="1"/>
    <col min="8950" max="8950" width="15.42578125" style="1" customWidth="1"/>
    <col min="8951" max="8953" width="13.5703125" style="1" customWidth="1"/>
    <col min="8954" max="9196" width="11" style="1"/>
    <col min="9197" max="9197" width="17" style="1" customWidth="1"/>
    <col min="9198" max="9198" width="48.28515625" style="1" customWidth="1"/>
    <col min="9199" max="9205" width="13.5703125" style="1" customWidth="1"/>
    <col min="9206" max="9206" width="15.42578125" style="1" customWidth="1"/>
    <col min="9207" max="9209" width="13.5703125" style="1" customWidth="1"/>
    <col min="9210" max="9452" width="11" style="1"/>
    <col min="9453" max="9453" width="17" style="1" customWidth="1"/>
    <col min="9454" max="9454" width="48.28515625" style="1" customWidth="1"/>
    <col min="9455" max="9461" width="13.5703125" style="1" customWidth="1"/>
    <col min="9462" max="9462" width="15.42578125" style="1" customWidth="1"/>
    <col min="9463" max="9465" width="13.5703125" style="1" customWidth="1"/>
    <col min="9466" max="9708" width="11" style="1"/>
    <col min="9709" max="9709" width="17" style="1" customWidth="1"/>
    <col min="9710" max="9710" width="48.28515625" style="1" customWidth="1"/>
    <col min="9711" max="9717" width="13.5703125" style="1" customWidth="1"/>
    <col min="9718" max="9718" width="15.42578125" style="1" customWidth="1"/>
    <col min="9719" max="9721" width="13.5703125" style="1" customWidth="1"/>
    <col min="9722" max="9964" width="11" style="1"/>
    <col min="9965" max="9965" width="17" style="1" customWidth="1"/>
    <col min="9966" max="9966" width="48.28515625" style="1" customWidth="1"/>
    <col min="9967" max="9973" width="13.5703125" style="1" customWidth="1"/>
    <col min="9974" max="9974" width="15.42578125" style="1" customWidth="1"/>
    <col min="9975" max="9977" width="13.5703125" style="1" customWidth="1"/>
    <col min="9978" max="10220" width="11" style="1"/>
    <col min="10221" max="10221" width="17" style="1" customWidth="1"/>
    <col min="10222" max="10222" width="48.28515625" style="1" customWidth="1"/>
    <col min="10223" max="10229" width="13.5703125" style="1" customWidth="1"/>
    <col min="10230" max="10230" width="15.42578125" style="1" customWidth="1"/>
    <col min="10231" max="10233" width="13.5703125" style="1" customWidth="1"/>
    <col min="10234" max="10476" width="11" style="1"/>
    <col min="10477" max="10477" width="17" style="1" customWidth="1"/>
    <col min="10478" max="10478" width="48.28515625" style="1" customWidth="1"/>
    <col min="10479" max="10485" width="13.5703125" style="1" customWidth="1"/>
    <col min="10486" max="10486" width="15.42578125" style="1" customWidth="1"/>
    <col min="10487" max="10489" width="13.5703125" style="1" customWidth="1"/>
    <col min="10490" max="10732" width="11" style="1"/>
    <col min="10733" max="10733" width="17" style="1" customWidth="1"/>
    <col min="10734" max="10734" width="48.28515625" style="1" customWidth="1"/>
    <col min="10735" max="10741" width="13.5703125" style="1" customWidth="1"/>
    <col min="10742" max="10742" width="15.42578125" style="1" customWidth="1"/>
    <col min="10743" max="10745" width="13.5703125" style="1" customWidth="1"/>
    <col min="10746" max="10988" width="11" style="1"/>
    <col min="10989" max="10989" width="17" style="1" customWidth="1"/>
    <col min="10990" max="10990" width="48.28515625" style="1" customWidth="1"/>
    <col min="10991" max="10997" width="13.5703125" style="1" customWidth="1"/>
    <col min="10998" max="10998" width="15.42578125" style="1" customWidth="1"/>
    <col min="10999" max="11001" width="13.5703125" style="1" customWidth="1"/>
    <col min="11002" max="11244" width="11" style="1"/>
    <col min="11245" max="11245" width="17" style="1" customWidth="1"/>
    <col min="11246" max="11246" width="48.28515625" style="1" customWidth="1"/>
    <col min="11247" max="11253" width="13.5703125" style="1" customWidth="1"/>
    <col min="11254" max="11254" width="15.42578125" style="1" customWidth="1"/>
    <col min="11255" max="11257" width="13.5703125" style="1" customWidth="1"/>
    <col min="11258" max="11500" width="11" style="1"/>
    <col min="11501" max="11501" width="17" style="1" customWidth="1"/>
    <col min="11502" max="11502" width="48.28515625" style="1" customWidth="1"/>
    <col min="11503" max="11509" width="13.5703125" style="1" customWidth="1"/>
    <col min="11510" max="11510" width="15.42578125" style="1" customWidth="1"/>
    <col min="11511" max="11513" width="13.5703125" style="1" customWidth="1"/>
    <col min="11514" max="11756" width="11" style="1"/>
    <col min="11757" max="11757" width="17" style="1" customWidth="1"/>
    <col min="11758" max="11758" width="48.28515625" style="1" customWidth="1"/>
    <col min="11759" max="11765" width="13.5703125" style="1" customWidth="1"/>
    <col min="11766" max="11766" width="15.42578125" style="1" customWidth="1"/>
    <col min="11767" max="11769" width="13.5703125" style="1" customWidth="1"/>
    <col min="11770" max="12012" width="11" style="1"/>
    <col min="12013" max="12013" width="17" style="1" customWidth="1"/>
    <col min="12014" max="12014" width="48.28515625" style="1" customWidth="1"/>
    <col min="12015" max="12021" width="13.5703125" style="1" customWidth="1"/>
    <col min="12022" max="12022" width="15.42578125" style="1" customWidth="1"/>
    <col min="12023" max="12025" width="13.5703125" style="1" customWidth="1"/>
    <col min="12026" max="12268" width="11" style="1"/>
    <col min="12269" max="12269" width="17" style="1" customWidth="1"/>
    <col min="12270" max="12270" width="48.28515625" style="1" customWidth="1"/>
    <col min="12271" max="12277" width="13.5703125" style="1" customWidth="1"/>
    <col min="12278" max="12278" width="15.42578125" style="1" customWidth="1"/>
    <col min="12279" max="12281" width="13.5703125" style="1" customWidth="1"/>
    <col min="12282" max="12524" width="11" style="1"/>
    <col min="12525" max="12525" width="17" style="1" customWidth="1"/>
    <col min="12526" max="12526" width="48.28515625" style="1" customWidth="1"/>
    <col min="12527" max="12533" width="13.5703125" style="1" customWidth="1"/>
    <col min="12534" max="12534" width="15.42578125" style="1" customWidth="1"/>
    <col min="12535" max="12537" width="13.5703125" style="1" customWidth="1"/>
    <col min="12538" max="12780" width="11" style="1"/>
    <col min="12781" max="12781" width="17" style="1" customWidth="1"/>
    <col min="12782" max="12782" width="48.28515625" style="1" customWidth="1"/>
    <col min="12783" max="12789" width="13.5703125" style="1" customWidth="1"/>
    <col min="12790" max="12790" width="15.42578125" style="1" customWidth="1"/>
    <col min="12791" max="12793" width="13.5703125" style="1" customWidth="1"/>
    <col min="12794" max="13036" width="11" style="1"/>
    <col min="13037" max="13037" width="17" style="1" customWidth="1"/>
    <col min="13038" max="13038" width="48.28515625" style="1" customWidth="1"/>
    <col min="13039" max="13045" width="13.5703125" style="1" customWidth="1"/>
    <col min="13046" max="13046" width="15.42578125" style="1" customWidth="1"/>
    <col min="13047" max="13049" width="13.5703125" style="1" customWidth="1"/>
    <col min="13050" max="13292" width="11" style="1"/>
    <col min="13293" max="13293" width="17" style="1" customWidth="1"/>
    <col min="13294" max="13294" width="48.28515625" style="1" customWidth="1"/>
    <col min="13295" max="13301" width="13.5703125" style="1" customWidth="1"/>
    <col min="13302" max="13302" width="15.42578125" style="1" customWidth="1"/>
    <col min="13303" max="13305" width="13.5703125" style="1" customWidth="1"/>
    <col min="13306" max="13548" width="11" style="1"/>
    <col min="13549" max="13549" width="17" style="1" customWidth="1"/>
    <col min="13550" max="13550" width="48.28515625" style="1" customWidth="1"/>
    <col min="13551" max="13557" width="13.5703125" style="1" customWidth="1"/>
    <col min="13558" max="13558" width="15.42578125" style="1" customWidth="1"/>
    <col min="13559" max="13561" width="13.5703125" style="1" customWidth="1"/>
    <col min="13562" max="13804" width="11" style="1"/>
    <col min="13805" max="13805" width="17" style="1" customWidth="1"/>
    <col min="13806" max="13806" width="48.28515625" style="1" customWidth="1"/>
    <col min="13807" max="13813" width="13.5703125" style="1" customWidth="1"/>
    <col min="13814" max="13814" width="15.42578125" style="1" customWidth="1"/>
    <col min="13815" max="13817" width="13.5703125" style="1" customWidth="1"/>
    <col min="13818" max="14060" width="11" style="1"/>
    <col min="14061" max="14061" width="17" style="1" customWidth="1"/>
    <col min="14062" max="14062" width="48.28515625" style="1" customWidth="1"/>
    <col min="14063" max="14069" width="13.5703125" style="1" customWidth="1"/>
    <col min="14070" max="14070" width="15.42578125" style="1" customWidth="1"/>
    <col min="14071" max="14073" width="13.5703125" style="1" customWidth="1"/>
    <col min="14074" max="14316" width="11" style="1"/>
    <col min="14317" max="14317" width="17" style="1" customWidth="1"/>
    <col min="14318" max="14318" width="48.28515625" style="1" customWidth="1"/>
    <col min="14319" max="14325" width="13.5703125" style="1" customWidth="1"/>
    <col min="14326" max="14326" width="15.42578125" style="1" customWidth="1"/>
    <col min="14327" max="14329" width="13.5703125" style="1" customWidth="1"/>
    <col min="14330" max="14572" width="11" style="1"/>
    <col min="14573" max="14573" width="17" style="1" customWidth="1"/>
    <col min="14574" max="14574" width="48.28515625" style="1" customWidth="1"/>
    <col min="14575" max="14581" width="13.5703125" style="1" customWidth="1"/>
    <col min="14582" max="14582" width="15.42578125" style="1" customWidth="1"/>
    <col min="14583" max="14585" width="13.5703125" style="1" customWidth="1"/>
    <col min="14586" max="14828" width="11" style="1"/>
    <col min="14829" max="14829" width="17" style="1" customWidth="1"/>
    <col min="14830" max="14830" width="48.28515625" style="1" customWidth="1"/>
    <col min="14831" max="14837" width="13.5703125" style="1" customWidth="1"/>
    <col min="14838" max="14838" width="15.42578125" style="1" customWidth="1"/>
    <col min="14839" max="14841" width="13.5703125" style="1" customWidth="1"/>
    <col min="14842" max="15084" width="11" style="1"/>
    <col min="15085" max="15085" width="17" style="1" customWidth="1"/>
    <col min="15086" max="15086" width="48.28515625" style="1" customWidth="1"/>
    <col min="15087" max="15093" width="13.5703125" style="1" customWidth="1"/>
    <col min="15094" max="15094" width="15.42578125" style="1" customWidth="1"/>
    <col min="15095" max="15097" width="13.5703125" style="1" customWidth="1"/>
    <col min="15098" max="15340" width="11" style="1"/>
    <col min="15341" max="15341" width="17" style="1" customWidth="1"/>
    <col min="15342" max="15342" width="48.28515625" style="1" customWidth="1"/>
    <col min="15343" max="15349" width="13.5703125" style="1" customWidth="1"/>
    <col min="15350" max="15350" width="15.42578125" style="1" customWidth="1"/>
    <col min="15351" max="15353" width="13.5703125" style="1" customWidth="1"/>
    <col min="15354" max="15596" width="11" style="1"/>
    <col min="15597" max="15597" width="17" style="1" customWidth="1"/>
    <col min="15598" max="15598" width="48.28515625" style="1" customWidth="1"/>
    <col min="15599" max="15605" width="13.5703125" style="1" customWidth="1"/>
    <col min="15606" max="15606" width="15.42578125" style="1" customWidth="1"/>
    <col min="15607" max="15609" width="13.5703125" style="1" customWidth="1"/>
    <col min="15610" max="15852" width="11" style="1"/>
    <col min="15853" max="15853" width="17" style="1" customWidth="1"/>
    <col min="15854" max="15854" width="48.28515625" style="1" customWidth="1"/>
    <col min="15855" max="15861" width="13.5703125" style="1" customWidth="1"/>
    <col min="15862" max="15862" width="15.42578125" style="1" customWidth="1"/>
    <col min="15863" max="15865" width="13.5703125" style="1" customWidth="1"/>
    <col min="15866" max="16108" width="11" style="1"/>
    <col min="16109" max="16109" width="17" style="1" customWidth="1"/>
    <col min="16110" max="16110" width="48.28515625" style="1" customWidth="1"/>
    <col min="16111" max="16117" width="13.5703125" style="1" customWidth="1"/>
    <col min="16118" max="16118" width="15.42578125" style="1" customWidth="1"/>
    <col min="16119" max="16121" width="13.5703125" style="1" customWidth="1"/>
    <col min="16122" max="16384" width="11" style="1"/>
  </cols>
  <sheetData>
    <row r="1" spans="1:15" ht="17.25" customHeight="1">
      <c r="A1" s="42" t="s">
        <v>178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O1" s="101"/>
    </row>
    <row r="2" spans="1:15" ht="17.25" customHeight="1">
      <c r="A2" s="191" t="s">
        <v>176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O2" s="101"/>
    </row>
    <row r="3" spans="1:15" s="9" customFormat="1" ht="17.25" customHeight="1">
      <c r="A3" s="185">
        <v>2019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O3" s="13"/>
    </row>
    <row r="4" spans="1:15" s="7" customFormat="1" ht="17.25" customHeight="1" thickBot="1">
      <c r="A4" s="185" t="s">
        <v>216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14"/>
      <c r="O4" s="114"/>
    </row>
    <row r="5" spans="1:15" s="7" customFormat="1" ht="37.5" customHeight="1" thickTop="1">
      <c r="A5" s="217" t="s">
        <v>29</v>
      </c>
      <c r="B5" s="217" t="s">
        <v>30</v>
      </c>
      <c r="C5" s="219" t="s">
        <v>48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  <c r="N5" s="114"/>
      <c r="O5" s="193" t="s">
        <v>42</v>
      </c>
    </row>
    <row r="6" spans="1:15" s="7" customFormat="1" ht="37.5" customHeight="1" thickBot="1">
      <c r="A6" s="223"/>
      <c r="B6" s="223"/>
      <c r="C6" s="133" t="s">
        <v>49</v>
      </c>
      <c r="D6" s="134" t="s">
        <v>12</v>
      </c>
      <c r="E6" s="133" t="s">
        <v>13</v>
      </c>
      <c r="F6" s="133" t="s">
        <v>14</v>
      </c>
      <c r="G6" s="133" t="s">
        <v>15</v>
      </c>
      <c r="H6" s="134" t="s">
        <v>16</v>
      </c>
      <c r="I6" s="133" t="s">
        <v>17</v>
      </c>
      <c r="J6" s="133" t="s">
        <v>18</v>
      </c>
      <c r="K6" s="133" t="s">
        <v>19</v>
      </c>
      <c r="L6" s="134" t="s">
        <v>24</v>
      </c>
      <c r="M6" s="133" t="s">
        <v>21</v>
      </c>
      <c r="N6" s="114"/>
      <c r="O6" s="114"/>
    </row>
    <row r="7" spans="1:15" ht="32.25" customHeight="1" thickTop="1">
      <c r="A7" s="135" t="s">
        <v>0</v>
      </c>
      <c r="B7" s="136" t="s">
        <v>53</v>
      </c>
      <c r="C7" s="137">
        <f>IFERROR(('Cuadro 2-Bocas del Toro'!D7+'Cuadro 3-Coclé'!D7+'Cuadro 4-Colón'!D7+'Cuadro 5-Chiriquí'!D7+'Cuadro 6-Darién'!D7+'Cuadro 7-Herrera'!D7+'Cuadro 8-Los Santos'!D7+'Cuadro 9-Panamá'!D7+'Cuadro 10-Panamá Oeste'!D7+'Cuadro 11-Veraguas'!D7)/('Cuadro 2-Bocas del Toro'!D7+'Cuadro 3-Coclé'!D7+'Cuadro 4-Colón'!D7+'Cuadro 5-Chiriquí'!D7+'Cuadro 6-Darién'!D7+'Cuadro 7-Herrera'!D7+'Cuadro 8-Los Santos'!D7+'Cuadro 9-Panamá'!D7+'Cuadro 10-Panamá Oeste'!D7+'Cuadro 11-Veraguas'!D7)*100,"")</f>
        <v>100</v>
      </c>
      <c r="D7" s="137">
        <f>IFERROR(('Cuadro 2-Bocas del Toro'!D7)/('Cuadro 2-Bocas del Toro'!D7+'Cuadro 3-Coclé'!D7+'Cuadro 4-Colón'!D7+'Cuadro 5-Chiriquí'!D7+'Cuadro 6-Darién'!D7+'Cuadro 7-Herrera'!D7+'Cuadro 8-Los Santos'!D7+'Cuadro 9-Panamá'!D7+'Cuadro 10-Panamá Oeste'!D7+'Cuadro 11-Veraguas'!D7)*100,"")</f>
        <v>9.9511526720471579</v>
      </c>
      <c r="E7" s="137">
        <f>IFERROR(('Cuadro 3-Coclé'!D7)/('Cuadro 2-Bocas del Toro'!D7+'Cuadro 3-Coclé'!D7+'Cuadro 4-Colón'!D7+'Cuadro 5-Chiriquí'!D7+'Cuadro 6-Darién'!D7+'Cuadro 7-Herrera'!D7+'Cuadro 8-Los Santos'!D7+'Cuadro 9-Panamá'!D7+'Cuadro 10-Panamá Oeste'!D7+'Cuadro 11-Veraguas'!D7)*100,"")</f>
        <v>10.559386410453667</v>
      </c>
      <c r="F7" s="137">
        <f>IFERROR(('Cuadro 4-Colón'!D7)/('Cuadro 2-Bocas del Toro'!D7+'Cuadro 3-Coclé'!D7+'Cuadro 4-Colón'!D7+'Cuadro 5-Chiriquí'!D7+'Cuadro 6-Darién'!D7+'Cuadro 7-Herrera'!D7+'Cuadro 8-Los Santos'!D7+'Cuadro 9-Panamá'!D7+'Cuadro 10-Panamá Oeste'!D7+'Cuadro 11-Veraguas'!D7)*100,"")</f>
        <v>2.5149912440534909</v>
      </c>
      <c r="G7" s="137">
        <f>IFERROR(('Cuadro 5-Chiriquí'!D7)/('Cuadro 2-Bocas del Toro'!D7+'Cuadro 3-Coclé'!D7+'Cuadro 4-Colón'!D7+'Cuadro 5-Chiriquí'!D7+'Cuadro 6-Darién'!D7+'Cuadro 7-Herrera'!D7+'Cuadro 8-Los Santos'!D7+'Cuadro 9-Panamá'!D7+'Cuadro 10-Panamá Oeste'!D7+'Cuadro 11-Veraguas'!D7)*100,"")</f>
        <v>20.828140951153639</v>
      </c>
      <c r="H7" s="137">
        <f>IFERROR(('Cuadro 6-Darién'!D7)/('Cuadro 2-Bocas del Toro'!D7+'Cuadro 3-Coclé'!D7+'Cuadro 4-Colón'!D7+'Cuadro 5-Chiriquí'!D7+'Cuadro 6-Darién'!D7+'Cuadro 7-Herrera'!D7+'Cuadro 8-Los Santos'!D7+'Cuadro 9-Panamá'!D7+'Cuadro 10-Panamá Oeste'!D7+'Cuadro 11-Veraguas'!D7)*100,"")</f>
        <v>5.3480481616998325</v>
      </c>
      <c r="I7" s="137">
        <f>IFERROR(('Cuadro 7-Herrera'!D7)/('Cuadro 2-Bocas del Toro'!D7+'Cuadro 3-Coclé'!D7+'Cuadro 4-Colón'!D7+'Cuadro 5-Chiriquí'!D7+'Cuadro 6-Darién'!D7+'Cuadro 7-Herrera'!D7+'Cuadro 8-Los Santos'!D7+'Cuadro 9-Panamá'!D7+'Cuadro 10-Panamá Oeste'!D7+'Cuadro 11-Veraguas'!D7)*100,"")</f>
        <v>4.4814977594210879</v>
      </c>
      <c r="J7" s="137">
        <f>IFERROR(('Cuadro 8-Los Santos'!D7)/('Cuadro 2-Bocas del Toro'!D7+'Cuadro 3-Coclé'!D7+'Cuadro 4-Colón'!D7+'Cuadro 5-Chiriquí'!D7+'Cuadro 6-Darién'!D7+'Cuadro 7-Herrera'!D7+'Cuadro 8-Los Santos'!D7+'Cuadro 9-Panamá'!D7+'Cuadro 10-Panamá Oeste'!D7+'Cuadro 11-Veraguas'!D7)*100,"")</f>
        <v>10.515755842072045</v>
      </c>
      <c r="K7" s="137">
        <f>IFERROR(('Cuadro 9-Panamá'!D7)/('Cuadro 2-Bocas del Toro'!D7+'Cuadro 3-Coclé'!D7+'Cuadro 4-Colón'!D7+'Cuadro 5-Chiriquí'!D7+'Cuadro 6-Darién'!D7+'Cuadro 7-Herrera'!D7+'Cuadro 8-Los Santos'!D7+'Cuadro 9-Panamá'!D7+'Cuadro 10-Panamá Oeste'!D7+'Cuadro 11-Veraguas'!D7)*100,"")</f>
        <v>7.8794355415321888</v>
      </c>
      <c r="L7" s="138">
        <f>IFERROR(('Cuadro 10-Panamá Oeste'!D7)/('Cuadro 2-Bocas del Toro'!D7+'Cuadro 3-Coclé'!D7+'Cuadro 4-Colón'!D7+'Cuadro 5-Chiriquí'!D7+'Cuadro 6-Darién'!D7+'Cuadro 7-Herrera'!D7+'Cuadro 8-Los Santos'!D7+'Cuadro 9-Panamá'!D7+'Cuadro 10-Panamá Oeste'!D7+'Cuadro 11-Veraguas'!D7)*100,"")</f>
        <v>19.47720642764326</v>
      </c>
      <c r="M7" s="139">
        <f>IFERROR(('Cuadro 11-Veraguas'!D7)/('Cuadro 2-Bocas del Toro'!D7+'Cuadro 3-Coclé'!D7+'Cuadro 4-Colón'!D7+'Cuadro 5-Chiriquí'!D7+'Cuadro 6-Darién'!D7+'Cuadro 7-Herrera'!D7+'Cuadro 8-Los Santos'!D7+'Cuadro 9-Panamá'!D7+'Cuadro 10-Panamá Oeste'!D7+'Cuadro 11-Veraguas'!D7)*100,"")</f>
        <v>8.4443849899236092</v>
      </c>
      <c r="N7" s="58"/>
    </row>
    <row r="8" spans="1:15" ht="32.25" customHeight="1">
      <c r="A8" s="56" t="s">
        <v>1</v>
      </c>
      <c r="B8" s="60" t="s">
        <v>31</v>
      </c>
      <c r="C8" s="14">
        <f>IFERROR(('Cuadro 2-Bocas del Toro'!D8+'Cuadro 3-Coclé'!D8+'Cuadro 4-Colón'!D8+'Cuadro 5-Chiriquí'!D8+'Cuadro 6-Darién'!D8+'Cuadro 7-Herrera'!D8+'Cuadro 8-Los Santos'!D8+'Cuadro 9-Panamá'!D8+'Cuadro 10-Panamá Oeste'!D8+'Cuadro 11-Veraguas'!D8)/('Cuadro 2-Bocas del Toro'!D8+'Cuadro 3-Coclé'!D8+'Cuadro 4-Colón'!D8+'Cuadro 5-Chiriquí'!D8+'Cuadro 6-Darién'!D8+'Cuadro 7-Herrera'!D8+'Cuadro 8-Los Santos'!D8+'Cuadro 9-Panamá'!D8+'Cuadro 10-Panamá Oeste'!D8+'Cuadro 11-Veraguas'!D8)*100,"")</f>
        <v>100</v>
      </c>
      <c r="D8" s="14">
        <f>IFERROR(('Cuadro 2-Bocas del Toro'!D8)/('Cuadro 2-Bocas del Toro'!D8+'Cuadro 3-Coclé'!D8+'Cuadro 4-Colón'!D8+'Cuadro 5-Chiriquí'!D8+'Cuadro 6-Darién'!D8+'Cuadro 7-Herrera'!D8+'Cuadro 8-Los Santos'!D8+'Cuadro 9-Panamá'!D8+'Cuadro 10-Panamá Oeste'!D8+'Cuadro 11-Veraguas'!D8)*100,"")</f>
        <v>0.80325791764715682</v>
      </c>
      <c r="E8" s="14">
        <f>IFERROR(('Cuadro 3-Coclé'!D8)/('Cuadro 2-Bocas del Toro'!D8+'Cuadro 3-Coclé'!D8+'Cuadro 4-Colón'!D8+'Cuadro 5-Chiriquí'!D8+'Cuadro 6-Darién'!D8+'Cuadro 7-Herrera'!D8+'Cuadro 8-Los Santos'!D8+'Cuadro 9-Panamá'!D8+'Cuadro 10-Panamá Oeste'!D8+'Cuadro 11-Veraguas'!D8)*100,"")</f>
        <v>3.1367316328402013</v>
      </c>
      <c r="F8" s="14">
        <f>IFERROR(('Cuadro 4-Colón'!D8)/('Cuadro 2-Bocas del Toro'!D8+'Cuadro 3-Coclé'!D8+'Cuadro 4-Colón'!D8+'Cuadro 5-Chiriquí'!D8+'Cuadro 6-Darién'!D8+'Cuadro 7-Herrera'!D8+'Cuadro 8-Los Santos'!D8+'Cuadro 9-Panamá'!D8+'Cuadro 10-Panamá Oeste'!D8+'Cuadro 11-Veraguas'!D8)*100,"")</f>
        <v>36.573083430442409</v>
      </c>
      <c r="G8" s="14">
        <f>IFERROR(('Cuadro 5-Chiriquí'!D8)/('Cuadro 2-Bocas del Toro'!D8+'Cuadro 3-Coclé'!D8+'Cuadro 4-Colón'!D8+'Cuadro 5-Chiriquí'!D8+'Cuadro 6-Darién'!D8+'Cuadro 7-Herrera'!D8+'Cuadro 8-Los Santos'!D8+'Cuadro 9-Panamá'!D8+'Cuadro 10-Panamá Oeste'!D8+'Cuadro 11-Veraguas'!D8)*100,"")</f>
        <v>5.9028300754775742</v>
      </c>
      <c r="H8" s="14">
        <f>IFERROR(('Cuadro 6-Darién'!D8)/('Cuadro 2-Bocas del Toro'!D8+'Cuadro 3-Coclé'!D8+'Cuadro 4-Colón'!D8+'Cuadro 5-Chiriquí'!D8+'Cuadro 6-Darién'!D8+'Cuadro 7-Herrera'!D8+'Cuadro 8-Los Santos'!D8+'Cuadro 9-Panamá'!D8+'Cuadro 10-Panamá Oeste'!D8+'Cuadro 11-Veraguas'!D8)*100,"")</f>
        <v>0.11492213850074681</v>
      </c>
      <c r="I8" s="14">
        <f>IFERROR(('Cuadro 7-Herrera'!D8)/('Cuadro 2-Bocas del Toro'!D8+'Cuadro 3-Coclé'!D8+'Cuadro 4-Colón'!D8+'Cuadro 5-Chiriquí'!D8+'Cuadro 6-Darién'!D8+'Cuadro 7-Herrera'!D8+'Cuadro 8-Los Santos'!D8+'Cuadro 9-Panamá'!D8+'Cuadro 10-Panamá Oeste'!D8+'Cuadro 11-Veraguas'!D8)*100,"")</f>
        <v>0.93226119286446762</v>
      </c>
      <c r="J8" s="14">
        <f>IFERROR(('Cuadro 8-Los Santos'!D8)/('Cuadro 2-Bocas del Toro'!D8+'Cuadro 3-Coclé'!D8+'Cuadro 4-Colón'!D8+'Cuadro 5-Chiriquí'!D8+'Cuadro 6-Darién'!D8+'Cuadro 7-Herrera'!D8+'Cuadro 8-Los Santos'!D8+'Cuadro 9-Panamá'!D8+'Cuadro 10-Panamá Oeste'!D8+'Cuadro 11-Veraguas'!D8)*100,"")</f>
        <v>1.7754007551840285</v>
      </c>
      <c r="K8" s="14">
        <f>IFERROR(('Cuadro 9-Panamá'!D8)/('Cuadro 2-Bocas del Toro'!D8+'Cuadro 3-Coclé'!D8+'Cuadro 4-Colón'!D8+'Cuadro 5-Chiriquí'!D8+'Cuadro 6-Darién'!D8+'Cuadro 7-Herrera'!D8+'Cuadro 8-Los Santos'!D8+'Cuadro 9-Panamá'!D8+'Cuadro 10-Panamá Oeste'!D8+'Cuadro 11-Veraguas'!D8)*100,"")</f>
        <v>37.070601666167207</v>
      </c>
      <c r="L8" s="19">
        <f>IFERROR(('Cuadro 10-Panamá Oeste'!D8)/('Cuadro 2-Bocas del Toro'!D8+'Cuadro 3-Coclé'!D8+'Cuadro 4-Colón'!D8+'Cuadro 5-Chiriquí'!D8+'Cuadro 6-Darién'!D8+'Cuadro 7-Herrera'!D8+'Cuadro 8-Los Santos'!D8+'Cuadro 9-Panamá'!D8+'Cuadro 10-Panamá Oeste'!D8+'Cuadro 11-Veraguas'!D8)*100,"")</f>
        <v>11.664589755760788</v>
      </c>
      <c r="M8" s="106">
        <f>IFERROR(('Cuadro 11-Veraguas'!D8)/('Cuadro 2-Bocas del Toro'!D8+'Cuadro 3-Coclé'!D8+'Cuadro 4-Colón'!D8+'Cuadro 5-Chiriquí'!D8+'Cuadro 6-Darién'!D8+'Cuadro 7-Herrera'!D8+'Cuadro 8-Los Santos'!D8+'Cuadro 9-Panamá'!D8+'Cuadro 10-Panamá Oeste'!D8+'Cuadro 11-Veraguas'!D8)*100,"")</f>
        <v>2.0263214351154319</v>
      </c>
      <c r="N8" s="58"/>
    </row>
    <row r="9" spans="1:15" ht="32.25" customHeight="1">
      <c r="A9" s="56" t="s">
        <v>2</v>
      </c>
      <c r="B9" s="60" t="s">
        <v>3</v>
      </c>
      <c r="C9" s="14">
        <f>IFERROR(('Cuadro 2-Bocas del Toro'!D9+'Cuadro 3-Coclé'!D9+'Cuadro 4-Colón'!D9+'Cuadro 5-Chiriquí'!D9+'Cuadro 6-Darién'!D9+'Cuadro 7-Herrera'!D9+'Cuadro 8-Los Santos'!D9+'Cuadro 9-Panamá'!D9+'Cuadro 10-Panamá Oeste'!D9+'Cuadro 11-Veraguas'!D9)/('Cuadro 2-Bocas del Toro'!D9+'Cuadro 3-Coclé'!D9+'Cuadro 4-Colón'!D9+'Cuadro 5-Chiriquí'!D9+'Cuadro 6-Darién'!D9+'Cuadro 7-Herrera'!D9+'Cuadro 8-Los Santos'!D9+'Cuadro 9-Panamá'!D9+'Cuadro 10-Panamá Oeste'!D9+'Cuadro 11-Veraguas'!D9)*100,"")</f>
        <v>100</v>
      </c>
      <c r="D9" s="14">
        <f>IFERROR(('Cuadro 2-Bocas del Toro'!D9)/('Cuadro 2-Bocas del Toro'!D9+'Cuadro 3-Coclé'!D9+'Cuadro 4-Colón'!D9+'Cuadro 5-Chiriquí'!D9+'Cuadro 6-Darién'!D9+'Cuadro 7-Herrera'!D9+'Cuadro 8-Los Santos'!D9+'Cuadro 9-Panamá'!D9+'Cuadro 10-Panamá Oeste'!D9+'Cuadro 11-Veraguas'!D9)*100,"")</f>
        <v>1.2557080741932672E-2</v>
      </c>
      <c r="E9" s="14">
        <f>IFERROR(('Cuadro 3-Coclé'!D9)/('Cuadro 2-Bocas del Toro'!D9+'Cuadro 3-Coclé'!D9+'Cuadro 4-Colón'!D9+'Cuadro 5-Chiriquí'!D9+'Cuadro 6-Darién'!D9+'Cuadro 7-Herrera'!D9+'Cuadro 8-Los Santos'!D9+'Cuadro 9-Panamá'!D9+'Cuadro 10-Panamá Oeste'!D9+'Cuadro 11-Veraguas'!D9)*100,"")</f>
        <v>7.5193126883795012</v>
      </c>
      <c r="F9" s="14">
        <f>IFERROR(('Cuadro 4-Colón'!D9)/('Cuadro 2-Bocas del Toro'!D9+'Cuadro 3-Coclé'!D9+'Cuadro 4-Colón'!D9+'Cuadro 5-Chiriquí'!D9+'Cuadro 6-Darién'!D9+'Cuadro 7-Herrera'!D9+'Cuadro 8-Los Santos'!D9+'Cuadro 9-Panamá'!D9+'Cuadro 10-Panamá Oeste'!D9+'Cuadro 11-Veraguas'!D9)*100,"")</f>
        <v>2.2113284730517031</v>
      </c>
      <c r="G9" s="14">
        <f>IFERROR(('Cuadro 5-Chiriquí'!D9)/('Cuadro 2-Bocas del Toro'!D9+'Cuadro 3-Coclé'!D9+'Cuadro 4-Colón'!D9+'Cuadro 5-Chiriquí'!D9+'Cuadro 6-Darién'!D9+'Cuadro 7-Herrera'!D9+'Cuadro 8-Los Santos'!D9+'Cuadro 9-Panamá'!D9+'Cuadro 10-Panamá Oeste'!D9+'Cuadro 11-Veraguas'!D9)*100,"")</f>
        <v>5.97463756389645</v>
      </c>
      <c r="H9" s="14">
        <f>IFERROR(('Cuadro 6-Darién'!D9)/('Cuadro 2-Bocas del Toro'!D9+'Cuadro 3-Coclé'!D9+'Cuadro 4-Colón'!D9+'Cuadro 5-Chiriquí'!D9+'Cuadro 6-Darién'!D9+'Cuadro 7-Herrera'!D9+'Cuadro 8-Los Santos'!D9+'Cuadro 9-Panamá'!D9+'Cuadro 10-Panamá Oeste'!D9+'Cuadro 11-Veraguas'!D9)*100,"")</f>
        <v>1.2305939127094018E-2</v>
      </c>
      <c r="I9" s="14">
        <f>IFERROR(('Cuadro 7-Herrera'!D9)/('Cuadro 2-Bocas del Toro'!D9+'Cuadro 3-Coclé'!D9+'Cuadro 4-Colón'!D9+'Cuadro 5-Chiriquí'!D9+'Cuadro 6-Darién'!D9+'Cuadro 7-Herrera'!D9+'Cuadro 8-Los Santos'!D9+'Cuadro 9-Panamá'!D9+'Cuadro 10-Panamá Oeste'!D9+'Cuadro 11-Veraguas'!D9)*100,"")</f>
        <v>1.1492313357319417</v>
      </c>
      <c r="J9" s="14">
        <f>IFERROR(('Cuadro 8-Los Santos'!D9)/('Cuadro 2-Bocas del Toro'!D9+'Cuadro 3-Coclé'!D9+'Cuadro 4-Colón'!D9+'Cuadro 5-Chiriquí'!D9+'Cuadro 6-Darién'!D9+'Cuadro 7-Herrera'!D9+'Cuadro 8-Los Santos'!D9+'Cuadro 9-Panamá'!D9+'Cuadro 10-Panamá Oeste'!D9+'Cuadro 11-Veraguas'!D9)*100,"")</f>
        <v>0.36937477979784111</v>
      </c>
      <c r="K9" s="14">
        <f>IFERROR(('Cuadro 9-Panamá'!D9)/('Cuadro 2-Bocas del Toro'!D9+'Cuadro 3-Coclé'!D9+'Cuadro 4-Colón'!D9+'Cuadro 5-Chiriquí'!D9+'Cuadro 6-Darién'!D9+'Cuadro 7-Herrera'!D9+'Cuadro 8-Los Santos'!D9+'Cuadro 9-Panamá'!D9+'Cuadro 10-Panamá Oeste'!D9+'Cuadro 11-Veraguas'!D9)*100,"")</f>
        <v>63.128448682274886</v>
      </c>
      <c r="L9" s="19">
        <f>IFERROR(('Cuadro 10-Panamá Oeste'!D9)/('Cuadro 2-Bocas del Toro'!D9+'Cuadro 3-Coclé'!D9+'Cuadro 4-Colón'!D9+'Cuadro 5-Chiriquí'!D9+'Cuadro 6-Darién'!D9+'Cuadro 7-Herrera'!D9+'Cuadro 8-Los Santos'!D9+'Cuadro 9-Panamá'!D9+'Cuadro 10-Panamá Oeste'!D9+'Cuadro 11-Veraguas'!D9)*100,"")</f>
        <v>15.10348411000767</v>
      </c>
      <c r="M9" s="106">
        <f>IFERROR(('Cuadro 11-Veraguas'!D9)/('Cuadro 2-Bocas del Toro'!D9+'Cuadro 3-Coclé'!D9+'Cuadro 4-Colón'!D9+'Cuadro 5-Chiriquí'!D9+'Cuadro 6-Darién'!D9+'Cuadro 7-Herrera'!D9+'Cuadro 8-Los Santos'!D9+'Cuadro 9-Panamá'!D9+'Cuadro 10-Panamá Oeste'!D9+'Cuadro 11-Veraguas'!D9)*100,"")</f>
        <v>4.5193193469909732</v>
      </c>
      <c r="N9" s="47"/>
    </row>
    <row r="10" spans="1:15" ht="44.25" customHeight="1">
      <c r="A10" s="56" t="s">
        <v>68</v>
      </c>
      <c r="B10" s="60" t="s">
        <v>69</v>
      </c>
      <c r="C10" s="14">
        <f>IFERROR(('Cuadro 2-Bocas del Toro'!D10+'Cuadro 3-Coclé'!D10+'Cuadro 4-Colón'!D10+'Cuadro 5-Chiriquí'!D10+'Cuadro 6-Darién'!D10+'Cuadro 7-Herrera'!D10+'Cuadro 8-Los Santos'!D10+'Cuadro 9-Panamá'!D10+'Cuadro 10-Panamá Oeste'!D10+'Cuadro 11-Veraguas'!D10)/('Cuadro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100</v>
      </c>
      <c r="D10" s="14">
        <f>IFERROR(('Cuadro 2-Bocas del Toro'!D10)/('Cuadro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3.2882314970040674</v>
      </c>
      <c r="E10" s="14">
        <f>IFERROR(('Cuadro 3-Coclé'!D10)/('Cuadro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6.9041151491140607</v>
      </c>
      <c r="F10" s="14">
        <f>IFERROR(('Cuadro 4-Colón'!D10)/('Cuadro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22.40018190436431</v>
      </c>
      <c r="G10" s="14">
        <f>IFERROR(('Cuadro 5-Chiriquí'!D10)/('Cuadro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24.029580290716655</v>
      </c>
      <c r="H10" s="14">
        <f>IFERROR(('Cuadro 6-Darién'!D10)/('Cuadro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0.14502075835204087</v>
      </c>
      <c r="I10" s="14">
        <f>IFERROR(('Cuadro 7-Herrera'!D10)/('Cuadro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1.1315972859757104</v>
      </c>
      <c r="J10" s="14">
        <f>IFERROR(('Cuadro 8-Los Santos'!D10)/('Cuadro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0.86004962009439911</v>
      </c>
      <c r="K10" s="14">
        <f>IFERROR(('Cuadro 9-Panamá'!D10)/('Cuadro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30.588266828928933</v>
      </c>
      <c r="L10" s="19">
        <f>IFERROR(('Cuadro 10-Panamá Oeste'!D10)/('Cuadro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9.1328820727099664</v>
      </c>
      <c r="M10" s="106">
        <f>IFERROR(('Cuadro 11-Veraguas'!D10)/('Cuadro 2-Bocas del Toro'!D10+'Cuadro 3-Coclé'!D10+'Cuadro 4-Colón'!D10+'Cuadro 5-Chiriquí'!D10+'Cuadro 6-Darién'!D10+'Cuadro 7-Herrera'!D10+'Cuadro 8-Los Santos'!D10+'Cuadro 9-Panamá'!D10+'Cuadro 10-Panamá Oeste'!D10+'Cuadro 11-Veraguas'!D10)*100,"")</f>
        <v>1.5200745927398649</v>
      </c>
      <c r="N10" s="47"/>
    </row>
    <row r="11" spans="1:15" ht="32.25" customHeight="1">
      <c r="A11" s="56" t="s">
        <v>4</v>
      </c>
      <c r="B11" s="60" t="s">
        <v>94</v>
      </c>
      <c r="C11" s="14">
        <f>IFERROR(('Cuadro 2-Bocas del Toro'!D11+'Cuadro 3-Coclé'!D11+'Cuadro 4-Colón'!D11+'Cuadro 5-Chiriquí'!D11+'Cuadro 6-Darién'!D11+'Cuadro 7-Herrera'!D11+'Cuadro 8-Los Santos'!D11+'Cuadro 9-Panamá'!D11+'Cuadro 10-Panamá Oeste'!D11+'Cuadro 11-Veraguas'!D11)/('Cuadro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100</v>
      </c>
      <c r="D11" s="14">
        <f>IFERROR(('Cuadro 2-Bocas del Toro'!D11)/('Cuadro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0.81912517336670088</v>
      </c>
      <c r="E11" s="14">
        <f>IFERROR(('Cuadro 3-Coclé'!D11)/('Cuadro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3.1749434375055139</v>
      </c>
      <c r="F11" s="14">
        <f>IFERROR(('Cuadro 4-Colón'!D11)/('Cuadro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22.075048814313604</v>
      </c>
      <c r="G11" s="14">
        <f>IFERROR(('Cuadro 5-Chiriquí'!D11)/('Cuadro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6.0194323674922803</v>
      </c>
      <c r="H11" s="14">
        <f>IFERROR(('Cuadro 6-Darién'!D11)/('Cuadro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0.11719226733404794</v>
      </c>
      <c r="I11" s="14">
        <f>IFERROR(('Cuadro 7-Herrera'!D11)/('Cuadro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0.9315739444021901</v>
      </c>
      <c r="J11" s="14">
        <f>IFERROR(('Cuadro 8-Los Santos'!D11)/('Cuadro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1.6704470375975247</v>
      </c>
      <c r="K11" s="14">
        <f>IFERROR(('Cuadro 9-Panamá'!D11)/('Cuadro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49.651026159081837</v>
      </c>
      <c r="L11" s="19">
        <f>IFERROR(('Cuadro 10-Panamá Oeste'!D11)/('Cuadro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13.474862169941163</v>
      </c>
      <c r="M11" s="106">
        <f>IFERROR(('Cuadro 11-Veraguas'!D11)/('Cuadro 2-Bocas del Toro'!D11+'Cuadro 3-Coclé'!D11+'Cuadro 4-Colón'!D11+'Cuadro 5-Chiriquí'!D11+'Cuadro 6-Darién'!D11+'Cuadro 7-Herrera'!D11+'Cuadro 8-Los Santos'!D11+'Cuadro 9-Panamá'!D11+'Cuadro 10-Panamá Oeste'!D11+'Cuadro 11-Veraguas'!D11)*100,"")</f>
        <v>2.0663486289651329</v>
      </c>
      <c r="N11" s="47"/>
    </row>
    <row r="12" spans="1:15" ht="41.25" customHeight="1">
      <c r="A12" s="56" t="s">
        <v>5</v>
      </c>
      <c r="B12" s="60" t="s">
        <v>54</v>
      </c>
      <c r="C12" s="14">
        <f>IFERROR(('Cuadro 2-Bocas del Toro'!D12+'Cuadro 3-Coclé'!D12+'Cuadro 4-Colón'!D12+'Cuadro 5-Chiriquí'!D12+'Cuadro 6-Darién'!D12+'Cuadro 7-Herrera'!D12+'Cuadro 8-Los Santos'!D12+'Cuadro 9-Panamá'!D12+'Cuadro 10-Panamá Oeste'!D12+'Cuadro 11-Veraguas'!D12)/('Cuadro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100</v>
      </c>
      <c r="D12" s="14">
        <f>IFERROR(('Cuadro 2-Bocas del Toro'!D12)/('Cuadro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0.1520454829879706</v>
      </c>
      <c r="E12" s="14">
        <f>IFERROR(('Cuadro 3-Coclé'!D12)/('Cuadro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1.3395619981249394</v>
      </c>
      <c r="F12" s="14">
        <f>IFERROR(('Cuadro 4-Colón'!D12)/('Cuadro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30.482062556324856</v>
      </c>
      <c r="G12" s="14">
        <f>IFERROR(('Cuadro 5-Chiriquí'!D12)/('Cuadro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2.8215212784369741</v>
      </c>
      <c r="H12" s="14">
        <f>IFERROR(('Cuadro 6-Darién'!D12)/('Cuadro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5.9875270344075318E-3</v>
      </c>
      <c r="I12" s="14">
        <f>IFERROR(('Cuadro 7-Herrera'!D12)/('Cuadro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0.1418378711152212</v>
      </c>
      <c r="J12" s="14">
        <f>IFERROR(('Cuadro 8-Los Santos'!D12)/('Cuadro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0.18894302524833378</v>
      </c>
      <c r="K12" s="14">
        <f>IFERROR(('Cuadro 9-Panamá'!D12)/('Cuadro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62.526098836917029</v>
      </c>
      <c r="L12" s="19">
        <f>IFERROR(('Cuadro 10-Panamá Oeste'!D12)/('Cuadro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0.9893629101874919</v>
      </c>
      <c r="M12" s="106">
        <f>IFERROR(('Cuadro 11-Veraguas'!D12)/('Cuadro 2-Bocas del Toro'!D12+'Cuadro 3-Coclé'!D12+'Cuadro 4-Colón'!D12+'Cuadro 5-Chiriquí'!D12+'Cuadro 6-Darién'!D12+'Cuadro 7-Herrera'!D12+'Cuadro 8-Los Santos'!D12+'Cuadro 9-Panamá'!D12+'Cuadro 10-Panamá Oeste'!D12+'Cuadro 11-Veraguas'!D12)*100,"")</f>
        <v>1.3525785136227619</v>
      </c>
      <c r="N12" s="47"/>
    </row>
    <row r="13" spans="1:15" ht="32.25" customHeight="1">
      <c r="A13" s="56" t="s">
        <v>6</v>
      </c>
      <c r="B13" s="60" t="s">
        <v>55</v>
      </c>
      <c r="C13" s="14">
        <f>IFERROR(('Cuadro 2-Bocas del Toro'!D13+'Cuadro 3-Coclé'!D13+'Cuadro 4-Colón'!D13+'Cuadro 5-Chiriquí'!D13+'Cuadro 6-Darién'!D13+'Cuadro 7-Herrera'!D13+'Cuadro 8-Los Santos'!D13+'Cuadro 9-Panamá'!D13+'Cuadro 10-Panamá Oeste'!D13+'Cuadro 11-Veraguas'!D13)/('Cuadro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100</v>
      </c>
      <c r="D13" s="14">
        <f>IFERROR(('Cuadro 2-Bocas del Toro'!D13)/('Cuadro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0.96239817570061592</v>
      </c>
      <c r="E13" s="14">
        <f>IFERROR(('Cuadro 3-Coclé'!D13)/('Cuadro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0.70274791574214379</v>
      </c>
      <c r="F13" s="14">
        <f>IFERROR(('Cuadro 4-Colón'!D13)/('Cuadro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24.291708374290028</v>
      </c>
      <c r="G13" s="14">
        <f>IFERROR(('Cuadro 5-Chiriquí'!D13)/('Cuadro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3.1506400212943042</v>
      </c>
      <c r="H13" s="14">
        <f>IFERROR(('Cuadro 6-Darién'!D13)/('Cuadro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4.2188282770630123E-2</v>
      </c>
      <c r="I13" s="14">
        <f>IFERROR(('Cuadro 7-Herrera'!D13)/('Cuadro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0.60478588880773188</v>
      </c>
      <c r="J13" s="14">
        <f>IFERROR(('Cuadro 8-Los Santos'!D13)/('Cuadro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0.47625591281564145</v>
      </c>
      <c r="K13" s="14">
        <f>IFERROR(('Cuadro 9-Panamá'!D13)/('Cuadro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55.538270037238</v>
      </c>
      <c r="L13" s="19">
        <f>IFERROR(('Cuadro 10-Panamá Oeste'!D13)/('Cuadro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13.001691015402505</v>
      </c>
      <c r="M13" s="106">
        <f>IFERROR(('Cuadro 11-Veraguas'!D13)/('Cuadro 2-Bocas del Toro'!D13+'Cuadro 3-Coclé'!D13+'Cuadro 4-Colón'!D13+'Cuadro 5-Chiriquí'!D13+'Cuadro 6-Darién'!D13+'Cuadro 7-Herrera'!D13+'Cuadro 8-Los Santos'!D13+'Cuadro 9-Panamá'!D13+'Cuadro 10-Panamá Oeste'!D13+'Cuadro 11-Veraguas'!D13)*100,"")</f>
        <v>1.2293143759384011</v>
      </c>
      <c r="N13" s="47"/>
    </row>
    <row r="14" spans="1:15" ht="32.25" customHeight="1">
      <c r="A14" s="56" t="s">
        <v>7</v>
      </c>
      <c r="B14" s="60" t="s">
        <v>32</v>
      </c>
      <c r="C14" s="14">
        <f>IFERROR(('Cuadro 2-Bocas del Toro'!D14+'Cuadro 3-Coclé'!D14+'Cuadro 4-Colón'!D14+'Cuadro 5-Chiriquí'!D14+'Cuadro 6-Darién'!D14+'Cuadro 7-Herrera'!D14+'Cuadro 8-Los Santos'!D14+'Cuadro 9-Panamá'!D14+'Cuadro 10-Panamá Oeste'!D14+'Cuadro 11-Veraguas'!D14)/('Cuadro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100</v>
      </c>
      <c r="D14" s="14">
        <f>IFERROR(('Cuadro 2-Bocas del Toro'!D14)/('Cuadro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0.55965503192505195</v>
      </c>
      <c r="E14" s="14">
        <f>IFERROR(('Cuadro 3-Coclé'!D14)/('Cuadro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4.9589247807256926</v>
      </c>
      <c r="F14" s="14">
        <f>IFERROR(('Cuadro 4-Colón'!D14)/('Cuadro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2.9569509048951019</v>
      </c>
      <c r="G14" s="14">
        <f>IFERROR(('Cuadro 5-Chiriquí'!D14)/('Cuadro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0.98391822529968354</v>
      </c>
      <c r="H14" s="14">
        <f>IFERROR(('Cuadro 6-Darién'!D14)/('Cuadro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5.1488262937104783E-3</v>
      </c>
      <c r="I14" s="14">
        <f>IFERROR(('Cuadro 7-Herrera'!D14)/('Cuadro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0.60137396349846406</v>
      </c>
      <c r="J14" s="14">
        <f>IFERROR(('Cuadro 8-Los Santos'!D14)/('Cuadro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0.43676822687325895</v>
      </c>
      <c r="K14" s="14">
        <f>IFERROR(('Cuadro 9-Panamá'!D14)/('Cuadro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83.601497569657241</v>
      </c>
      <c r="L14" s="19">
        <f>IFERROR(('Cuadro 10-Panamá Oeste'!D14)/('Cuadro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2.9711824525314414</v>
      </c>
      <c r="M14" s="106">
        <f>IFERROR(('Cuadro 11-Veraguas'!D14)/('Cuadro 2-Bocas del Toro'!D14+'Cuadro 3-Coclé'!D14+'Cuadro 4-Colón'!D14+'Cuadro 5-Chiriquí'!D14+'Cuadro 6-Darién'!D14+'Cuadro 7-Herrera'!D14+'Cuadro 8-Los Santos'!D14+'Cuadro 9-Panamá'!D14+'Cuadro 10-Panamá Oeste'!D14+'Cuadro 11-Veraguas'!D14)*100,"")</f>
        <v>2.9245800183003627</v>
      </c>
      <c r="N14" s="47"/>
    </row>
    <row r="15" spans="1:15" ht="32.25" customHeight="1">
      <c r="A15" s="56" t="s">
        <v>8</v>
      </c>
      <c r="B15" s="60" t="s">
        <v>56</v>
      </c>
      <c r="C15" s="14">
        <f>IFERROR(('Cuadro 2-Bocas del Toro'!D15+'Cuadro 3-Coclé'!D15+'Cuadro 4-Colón'!D15+'Cuadro 5-Chiriquí'!D15+'Cuadro 6-Darién'!D15+'Cuadro 7-Herrera'!D15+'Cuadro 8-Los Santos'!D15+'Cuadro 9-Panamá'!D15+'Cuadro 10-Panamá Oeste'!D15+'Cuadro 11-Veraguas'!D15)/('Cuadro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100</v>
      </c>
      <c r="D15" s="14">
        <f>IFERROR(('Cuadro 2-Bocas del Toro'!D15)/('Cuadro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4.1509592282938694</v>
      </c>
      <c r="E15" s="14">
        <f>IFERROR(('Cuadro 3-Coclé'!D15)/('Cuadro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6.2849269272268389</v>
      </c>
      <c r="F15" s="14">
        <f>IFERROR(('Cuadro 4-Colón'!D15)/('Cuadro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8.0668994654414252</v>
      </c>
      <c r="G15" s="14">
        <f>IFERROR(('Cuadro 5-Chiriquí'!D15)/('Cuadro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16.150486108872457</v>
      </c>
      <c r="H15" s="14">
        <f>IFERROR(('Cuadro 6-Darién'!D15)/('Cuadro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1.6572453640933646</v>
      </c>
      <c r="I15" s="14">
        <f>IFERROR(('Cuadro 7-Herrera'!D15)/('Cuadro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2.8175020053057644</v>
      </c>
      <c r="J15" s="14">
        <f>IFERROR(('Cuadro 8-Los Santos'!D15)/('Cuadro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2.2646207175107289</v>
      </c>
      <c r="K15" s="14">
        <f>IFERROR(('Cuadro 9-Panamá'!D15)/('Cuadro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38.550557408632955</v>
      </c>
      <c r="L15" s="19">
        <f>IFERROR(('Cuadro 10-Panamá Oeste'!D15)/('Cuadro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14.186803476242583</v>
      </c>
      <c r="M15" s="106">
        <f>IFERROR(('Cuadro 11-Veraguas'!D15)/('Cuadro 2-Bocas del Toro'!D15+'Cuadro 3-Coclé'!D15+'Cuadro 4-Colón'!D15+'Cuadro 5-Chiriquí'!D15+'Cuadro 6-Darién'!D15+'Cuadro 7-Herrera'!D15+'Cuadro 8-Los Santos'!D15+'Cuadro 9-Panamá'!D15+'Cuadro 10-Panamá Oeste'!D15+'Cuadro 11-Veraguas'!D15)*100,"")</f>
        <v>5.8699992983800158</v>
      </c>
      <c r="N15" s="47"/>
    </row>
    <row r="16" spans="1:15" ht="32.25" customHeight="1">
      <c r="A16" s="56" t="s">
        <v>9</v>
      </c>
      <c r="B16" s="60" t="s">
        <v>57</v>
      </c>
      <c r="C16" s="14">
        <f>IFERROR(('Cuadro 2-Bocas del Toro'!D16+'Cuadro 3-Coclé'!D16+'Cuadro 4-Colón'!D16+'Cuadro 5-Chiriquí'!D16+'Cuadro 6-Darién'!D16+'Cuadro 7-Herrera'!D16+'Cuadro 8-Los Santos'!D16+'Cuadro 9-Panamá'!D16+'Cuadro 10-Panamá Oeste'!D16+'Cuadro 11-Veraguas'!D16)/('Cuadro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100</v>
      </c>
      <c r="D16" s="14">
        <f>IFERROR(('Cuadro 2-Bocas del Toro'!D16)/('Cuadro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0.35905428803762413</v>
      </c>
      <c r="E16" s="14">
        <f>IFERROR(('Cuadro 3-Coclé'!D16)/('Cuadro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1.2224911376470529</v>
      </c>
      <c r="F16" s="14">
        <f>IFERROR(('Cuadro 4-Colón'!D16)/('Cuadro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3.1501002823275512</v>
      </c>
      <c r="G16" s="14">
        <f>IFERROR(('Cuadro 5-Chiriquí'!D16)/('Cuadro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4.3905136288572928</v>
      </c>
      <c r="H16" s="14">
        <f>IFERROR(('Cuadro 6-Darién'!D16)/('Cuadro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0.12254698921902599</v>
      </c>
      <c r="I16" s="14">
        <f>IFERROR(('Cuadro 7-Herrera'!D16)/('Cuadro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1.2650826785372813</v>
      </c>
      <c r="J16" s="14">
        <f>IFERROR(('Cuadro 8-Los Santos'!D16)/('Cuadro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0.69565915634124342</v>
      </c>
      <c r="K16" s="14">
        <f>IFERROR(('Cuadro 9-Panamá'!D16)/('Cuadro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85.408867885416413</v>
      </c>
      <c r="L16" s="19">
        <f>IFERROR(('Cuadro 10-Panamá Oeste'!D16)/('Cuadro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1.5827776780756677</v>
      </c>
      <c r="M16" s="106">
        <f>IFERROR(('Cuadro 11-Veraguas'!D16)/('Cuadro 2-Bocas del Toro'!D16+'Cuadro 3-Coclé'!D16+'Cuadro 4-Colón'!D16+'Cuadro 5-Chiriquí'!D16+'Cuadro 6-Darién'!D16+'Cuadro 7-Herrera'!D16+'Cuadro 8-Los Santos'!D16+'Cuadro 9-Panamá'!D16+'Cuadro 10-Panamá Oeste'!D16+'Cuadro 11-Veraguas'!D16)*100,"")</f>
        <v>1.8029062755408449</v>
      </c>
      <c r="N16" s="47"/>
    </row>
    <row r="17" spans="1:14" ht="32.25" customHeight="1">
      <c r="A17" s="56" t="s">
        <v>70</v>
      </c>
      <c r="B17" s="60" t="s">
        <v>95</v>
      </c>
      <c r="C17" s="14">
        <f>IFERROR(('Cuadro 2-Bocas del Toro'!D17+'Cuadro 3-Coclé'!D17+'Cuadro 4-Colón'!D17+'Cuadro 5-Chiriquí'!D17+'Cuadro 6-Darién'!D17+'Cuadro 7-Herrera'!D17+'Cuadro 8-Los Santos'!D17+'Cuadro 9-Panamá'!D17+'Cuadro 10-Panamá Oeste'!D17+'Cuadro 11-Veraguas'!D17)/('Cuadro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100</v>
      </c>
      <c r="D17" s="14">
        <f>IFERROR(('Cuadro 2-Bocas del Toro'!D17)/('Cuadro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0.98125746517849677</v>
      </c>
      <c r="E17" s="14">
        <f>IFERROR(('Cuadro 3-Coclé'!D17)/('Cuadro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1.4608745180757454</v>
      </c>
      <c r="F17" s="14">
        <f>IFERROR(('Cuadro 4-Colón'!D17)/('Cuadro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2.4362577372521974</v>
      </c>
      <c r="G17" s="14">
        <f>IFERROR(('Cuadro 5-Chiriquí'!D17)/('Cuadro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3.5812509959718448</v>
      </c>
      <c r="H17" s="14">
        <f>IFERROR(('Cuadro 6-Darién'!D17)/('Cuadro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0.15735075818995409</v>
      </c>
      <c r="I17" s="14">
        <f>IFERROR(('Cuadro 7-Herrera'!D17)/('Cuadro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0.88081845544955018</v>
      </c>
      <c r="J17" s="14">
        <f>IFERROR(('Cuadro 8-Los Santos'!D17)/('Cuadro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0.69690486555453124</v>
      </c>
      <c r="K17" s="14">
        <f>IFERROR(('Cuadro 9-Panamá'!D17)/('Cuadro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75.903502342099927</v>
      </c>
      <c r="L17" s="19">
        <f>IFERROR(('Cuadro 10-Panamá Oeste'!D17)/('Cuadro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12.470402431706122</v>
      </c>
      <c r="M17" s="106">
        <f>IFERROR(('Cuadro 11-Veraguas'!D17)/('Cuadro 2-Bocas del Toro'!D17+'Cuadro 3-Coclé'!D17+'Cuadro 4-Colón'!D17+'Cuadro 5-Chiriquí'!D17+'Cuadro 6-Darién'!D17+'Cuadro 7-Herrera'!D17+'Cuadro 8-Los Santos'!D17+'Cuadro 9-Panamá'!D17+'Cuadro 10-Panamá Oeste'!D17+'Cuadro 11-Veraguas'!D17)*100,"")</f>
        <v>1.4313804305216231</v>
      </c>
      <c r="N17" s="47"/>
    </row>
    <row r="18" spans="1:14" ht="32.25" customHeight="1">
      <c r="A18" s="56" t="s">
        <v>10</v>
      </c>
      <c r="B18" s="60" t="s">
        <v>58</v>
      </c>
      <c r="C18" s="14">
        <f>IFERROR(('Cuadro 2-Bocas del Toro'!D18+'Cuadro 3-Coclé'!D18+'Cuadro 4-Colón'!D18+'Cuadro 5-Chiriquí'!D18+'Cuadro 6-Darién'!D18+'Cuadro 7-Herrera'!D18+'Cuadro 8-Los Santos'!D18+'Cuadro 9-Panamá'!D18+'Cuadro 10-Panamá Oeste'!D18+'Cuadro 11-Veraguas'!D18)/('Cuadro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100</v>
      </c>
      <c r="D18" s="14">
        <f>IFERROR(('Cuadro 2-Bocas del Toro'!D18)/('Cuadro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0.14165615731722928</v>
      </c>
      <c r="E18" s="14">
        <f>IFERROR(('Cuadro 3-Coclé'!D18)/('Cuadro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0.53579917544260025</v>
      </c>
      <c r="F18" s="14">
        <f>IFERROR(('Cuadro 4-Colón'!D18)/('Cuadro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1.8218769304861671</v>
      </c>
      <c r="G18" s="14">
        <f>IFERROR(('Cuadro 5-Chiriquí'!D18)/('Cuadro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3.7041636391712149</v>
      </c>
      <c r="H18" s="14">
        <f>IFERROR(('Cuadro 6-Darién'!D18)/('Cuadro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8.0468391591591706E-2</v>
      </c>
      <c r="I18" s="14">
        <f>IFERROR(('Cuadro 7-Herrera'!D18)/('Cuadro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0.60672679569177868</v>
      </c>
      <c r="J18" s="14">
        <f>IFERROR(('Cuadro 8-Los Santos'!D18)/('Cuadro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0.1317358754056896</v>
      </c>
      <c r="K18" s="14">
        <f>IFERROR(('Cuadro 9-Panamá'!D18)/('Cuadro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85.862007629986877</v>
      </c>
      <c r="L18" s="19">
        <f>IFERROR(('Cuadro 10-Panamá Oeste'!D18)/('Cuadro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6.4623533329358187</v>
      </c>
      <c r="M18" s="106">
        <f>IFERROR(('Cuadro 11-Veraguas'!D18)/('Cuadro 2-Bocas del Toro'!D18+'Cuadro 3-Coclé'!D18+'Cuadro 4-Colón'!D18+'Cuadro 5-Chiriquí'!D18+'Cuadro 6-Darién'!D18+'Cuadro 7-Herrera'!D18+'Cuadro 8-Los Santos'!D18+'Cuadro 9-Panamá'!D18+'Cuadro 10-Panamá Oeste'!D18+'Cuadro 11-Veraguas'!D18)*100,"")</f>
        <v>0.65321207197102005</v>
      </c>
      <c r="N18" s="47"/>
    </row>
    <row r="19" spans="1:14" ht="32.25" customHeight="1">
      <c r="A19" s="56" t="s">
        <v>59</v>
      </c>
      <c r="B19" s="60" t="s">
        <v>60</v>
      </c>
      <c r="C19" s="14">
        <f>IFERROR(('Cuadro 2-Bocas del Toro'!D19+'Cuadro 3-Coclé'!D19+'Cuadro 4-Colón'!D19+'Cuadro 5-Chiriquí'!D19+'Cuadro 6-Darién'!D19+'Cuadro 7-Herrera'!D19+'Cuadro 8-Los Santos'!D19+'Cuadro 9-Panamá'!D19+'Cuadro 10-Panamá Oeste'!D19+'Cuadro 11-Veraguas'!D19)/('Cuadro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100</v>
      </c>
      <c r="D19" s="14">
        <f>IFERROR(('Cuadro 2-Bocas del Toro'!D19)/('Cuadro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8.1543016032943599E-3</v>
      </c>
      <c r="E19" s="14">
        <f>IFERROR(('Cuadro 3-Coclé'!D19)/('Cuadro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4.9122288869510616E-2</v>
      </c>
      <c r="F19" s="14">
        <f>IFERROR(('Cuadro 4-Colón'!D19)/('Cuadro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0.30649776815671903</v>
      </c>
      <c r="G19" s="14">
        <f>IFERROR(('Cuadro 5-Chiriquí'!D19)/('Cuadro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2.9442191796974821</v>
      </c>
      <c r="H19" s="14">
        <f>IFERROR(('Cuadro 6-Darién'!D19)/('Cuadro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7.7251278346999186E-3</v>
      </c>
      <c r="I19" s="14">
        <f>IFERROR(('Cuadro 7-Herrera'!D19)/('Cuadro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0.57946872983085229</v>
      </c>
      <c r="J19" s="14">
        <f>IFERROR(('Cuadro 8-Los Santos'!D19)/('Cuadro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8.5834753718887977E-3</v>
      </c>
      <c r="K19" s="14">
        <f>IFERROR(('Cuadro 9-Panamá'!D19)/('Cuadro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95.228924921493402</v>
      </c>
      <c r="L19" s="19">
        <f>IFERROR(('Cuadro 10-Panamá Oeste'!D19)/('Cuadro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0.70019322391878136</v>
      </c>
      <c r="M19" s="106">
        <f>IFERROR(('Cuadro 11-Veraguas'!D19)/('Cuadro 2-Bocas del Toro'!D19+'Cuadro 3-Coclé'!D19+'Cuadro 4-Colón'!D19+'Cuadro 5-Chiriquí'!D19+'Cuadro 6-Darién'!D19+'Cuadro 7-Herrera'!D19+'Cuadro 8-Los Santos'!D19+'Cuadro 9-Panamá'!D19+'Cuadro 10-Panamá Oeste'!D19+'Cuadro 11-Veraguas'!D19)*100,"")</f>
        <v>0.16711098322337398</v>
      </c>
      <c r="N19" s="47"/>
    </row>
    <row r="20" spans="1:14" ht="32.25" customHeight="1">
      <c r="A20" s="56" t="s">
        <v>66</v>
      </c>
      <c r="B20" s="60" t="s">
        <v>67</v>
      </c>
      <c r="C20" s="14">
        <f>IFERROR(('Cuadro 2-Bocas del Toro'!D20+'Cuadro 3-Coclé'!D20+'Cuadro 4-Colón'!D20+'Cuadro 5-Chiriquí'!D20+'Cuadro 6-Darién'!D20+'Cuadro 7-Herrera'!D20+'Cuadro 8-Los Santos'!D20+'Cuadro 9-Panamá'!D20+'Cuadro 10-Panamá Oeste'!D20+'Cuadro 11-Veraguas'!D20)/('Cuadro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100</v>
      </c>
      <c r="D20" s="14">
        <f>IFERROR(('Cuadro 2-Bocas del Toro'!D20)/('Cuadro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0.15740653672390625</v>
      </c>
      <c r="E20" s="14">
        <f>IFERROR(('Cuadro 3-Coclé'!D20)/('Cuadro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0.22889694974313265</v>
      </c>
      <c r="F20" s="14">
        <f>IFERROR(('Cuadro 4-Colón'!D20)/('Cuadro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4.8132469002494283</v>
      </c>
      <c r="G20" s="14">
        <f>IFERROR(('Cuadro 5-Chiriquí'!D20)/('Cuadro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1.1862110933864543</v>
      </c>
      <c r="H20" s="14">
        <f>IFERROR(('Cuadro 6-Darién'!D20)/('Cuadro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2.5218908441512755E-3</v>
      </c>
      <c r="I20" s="14">
        <f>IFERROR(('Cuadro 7-Herrera'!D20)/('Cuadro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0.13328416710247235</v>
      </c>
      <c r="J20" s="14">
        <f>IFERROR(('Cuadro 8-Los Santos'!D20)/('Cuadro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8.1556466434649783E-2</v>
      </c>
      <c r="K20" s="14">
        <f>IFERROR(('Cuadro 9-Panamá'!D20)/('Cuadro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91.503452803419066</v>
      </c>
      <c r="L20" s="19">
        <f>IFERROR(('Cuadro 10-Panamá Oeste'!D20)/('Cuadro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0.56639520308895697</v>
      </c>
      <c r="M20" s="106">
        <f>IFERROR(('Cuadro 11-Veraguas'!D20)/('Cuadro 2-Bocas del Toro'!D20+'Cuadro 3-Coclé'!D20+'Cuadro 4-Colón'!D20+'Cuadro 5-Chiriquí'!D20+'Cuadro 6-Darién'!D20+'Cuadro 7-Herrera'!D20+'Cuadro 8-Los Santos'!D20+'Cuadro 9-Panamá'!D20+'Cuadro 10-Panamá Oeste'!D20+'Cuadro 11-Veraguas'!D20)*100,"")</f>
        <v>1.3270279890077941</v>
      </c>
      <c r="N20" s="47"/>
    </row>
    <row r="21" spans="1:14" ht="32.25" customHeight="1">
      <c r="A21" s="66" t="s">
        <v>61</v>
      </c>
      <c r="B21" s="67" t="s">
        <v>62</v>
      </c>
      <c r="C21" s="145">
        <f>IFERROR(('Cuadro 2-Bocas del Toro'!D21+'Cuadro 3-Coclé'!D21+'Cuadro 4-Colón'!D21+'Cuadro 5-Chiriquí'!D21+'Cuadro 6-Darién'!D21+'Cuadro 7-Herrera'!D21+'Cuadro 8-Los Santos'!D21+'Cuadro 9-Panamá'!D21+'Cuadro 10-Panamá Oeste'!D21+'Cuadro 11-Veraguas'!D21)/('Cuadro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100</v>
      </c>
      <c r="D21" s="145">
        <f>IFERROR(('Cuadro 2-Bocas del Toro'!D21)/('Cuadro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2.5513252028966504</v>
      </c>
      <c r="E21" s="145">
        <f>IFERROR(('Cuadro 3-Coclé'!D21)/('Cuadro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7.0594920662674312</v>
      </c>
      <c r="F21" s="145">
        <f>IFERROR(('Cuadro 4-Colón'!D21)/('Cuadro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5.290612114059245</v>
      </c>
      <c r="G21" s="145">
        <f>IFERROR(('Cuadro 5-Chiriquí'!D21)/('Cuadro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12.874648482464194</v>
      </c>
      <c r="H21" s="145">
        <f>IFERROR(('Cuadro 6-Darién'!D21)/('Cuadro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0.49540295201876705</v>
      </c>
      <c r="I21" s="145">
        <f>IFERROR(('Cuadro 7-Herrera'!D21)/('Cuadro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3.2463464032288614</v>
      </c>
      <c r="J21" s="145">
        <f>IFERROR(('Cuadro 8-Los Santos'!D21)/('Cuadro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2.9782459821363534</v>
      </c>
      <c r="K21" s="145">
        <f>IFERROR(('Cuadro 9-Panamá'!D21)/('Cuadro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38.223251883259749</v>
      </c>
      <c r="L21" s="132">
        <f>IFERROR(('Cuadro 10-Panamá Oeste'!D21)/('Cuadro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20.509682213576951</v>
      </c>
      <c r="M21" s="117">
        <f>IFERROR(('Cuadro 11-Veraguas'!D21)/('Cuadro 2-Bocas del Toro'!D21+'Cuadro 3-Coclé'!D21+'Cuadro 4-Colón'!D21+'Cuadro 5-Chiriquí'!D21+'Cuadro 6-Darién'!D21+'Cuadro 7-Herrera'!D21+'Cuadro 8-Los Santos'!D21+'Cuadro 9-Panamá'!D21+'Cuadro 10-Panamá Oeste'!D21+'Cuadro 11-Veraguas'!D21)*100,"")</f>
        <v>6.7709927000917949</v>
      </c>
      <c r="N21" s="47"/>
    </row>
    <row r="22" spans="1:14" ht="32.25" customHeight="1">
      <c r="A22" s="25"/>
      <c r="B22" s="22" t="s">
        <v>93</v>
      </c>
      <c r="C22" s="145">
        <f>IFERROR(('Cuadro 2-Bocas del Toro'!D22+'Cuadro 3-Coclé'!D22+'Cuadro 4-Colón'!D22+'Cuadro 5-Chiriquí'!D22+'Cuadro 6-Darién'!D22+'Cuadro 7-Herrera'!D22+'Cuadro 8-Los Santos'!D22+'Cuadro 9-Panamá'!D22+'Cuadro 10-Panamá Oeste'!D22+'Cuadro 11-Veraguas'!D22)/('Cuadro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100</v>
      </c>
      <c r="D22" s="145">
        <f>IFERROR(('Cuadro 2-Bocas del Toro'!D22)/('Cuadro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3.6261324208072305</v>
      </c>
      <c r="E22" s="145">
        <f>IFERROR(('Cuadro 3-Coclé'!D22)/('Cuadro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6.5334460357602957</v>
      </c>
      <c r="F22" s="145">
        <f>IFERROR(('Cuadro 4-Colón'!D22)/('Cuadro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5.6315993974055711</v>
      </c>
      <c r="G22" s="145">
        <f>IFERROR(('Cuadro 5-Chiriquí'!D22)/('Cuadro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10.762990886100106</v>
      </c>
      <c r="H22" s="145">
        <f>IFERROR(('Cuadro 6-Darién'!D22)/('Cuadro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1.297895691177172</v>
      </c>
      <c r="I22" s="145">
        <f>IFERROR(('Cuadro 7-Herrera'!D22)/('Cuadro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3.5777339995500985</v>
      </c>
      <c r="J22" s="145">
        <f>IFERROR(('Cuadro 8-Los Santos'!D22)/('Cuadro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3.357214432272885</v>
      </c>
      <c r="K22" s="145">
        <f>IFERROR(('Cuadro 9-Panamá'!D22)/('Cuadro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41.663883189387782</v>
      </c>
      <c r="L22" s="132">
        <f>IFERROR(('Cuadro 10-Panamá Oeste'!D22)/('Cuadro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16.918315734940247</v>
      </c>
      <c r="M22" s="117">
        <f>IFERROR(('Cuadro 11-Veraguas'!D22)/('Cuadro 2-Bocas del Toro'!D22+'Cuadro 3-Coclé'!D22+'Cuadro 4-Colón'!D22+'Cuadro 5-Chiriquí'!D22+'Cuadro 6-Darién'!D22+'Cuadro 7-Herrera'!D22+'Cuadro 8-Los Santos'!D22+'Cuadro 9-Panamá'!D22+'Cuadro 10-Panamá Oeste'!D22+'Cuadro 11-Veraguas'!D22)*100,"")</f>
        <v>6.6307882125985858</v>
      </c>
      <c r="N22" s="47"/>
    </row>
    <row r="23" spans="1:14" s="36" customFormat="1" ht="32.25" customHeight="1">
      <c r="A23" s="34"/>
      <c r="B23" s="27" t="s">
        <v>33</v>
      </c>
      <c r="C23" s="146">
        <f>IFERROR(('Cuadro 2-Bocas del Toro'!D23+'Cuadro 3-Coclé'!D23+'Cuadro 4-Colón'!D23+'Cuadro 5-Chiriquí'!D23+'Cuadro 6-Darién'!D23+'Cuadro 7-Herrera'!D23+'Cuadro 8-Los Santos'!D23+'Cuadro 9-Panamá'!D23+'Cuadro 10-Panamá Oeste'!D23+'Cuadro 11-Veraguas'!D23)/('Cuadro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100</v>
      </c>
      <c r="D23" s="146">
        <f>IFERROR(('Cuadro 2-Bocas del Toro'!D23)/('Cuadro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1.2543967799792763</v>
      </c>
      <c r="E23" s="146">
        <f>IFERROR(('Cuadro 3-Coclé'!D23)/('Cuadro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3.0557535612919091</v>
      </c>
      <c r="F23" s="146">
        <f>IFERROR(('Cuadro 4-Colón'!D23)/('Cuadro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15.332090775286797</v>
      </c>
      <c r="G23" s="146">
        <f>IFERROR(('Cuadro 5-Chiriquí'!D23)/('Cuadro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5.8415111154413797</v>
      </c>
      <c r="H23" s="146">
        <f>IFERROR(('Cuadro 6-Darién'!D23)/('Cuadro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0.3615844637607814</v>
      </c>
      <c r="I23" s="146">
        <f>IFERROR(('Cuadro 7-Herrera'!D23)/('Cuadro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1.1348340706985895</v>
      </c>
      <c r="J23" s="146">
        <f>IFERROR(('Cuadro 8-Los Santos'!D23)/('Cuadro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1.2800319201909816</v>
      </c>
      <c r="K23" s="146">
        <f>IFERROR(('Cuadro 9-Panamá'!D23)/('Cuadro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59.204180247295213</v>
      </c>
      <c r="L23" s="144">
        <f>IFERROR(('Cuadro 10-Panamá Oeste'!D23)/('Cuadro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10.007762340645055</v>
      </c>
      <c r="M23" s="129">
        <f>IFERROR(('Cuadro 11-Veraguas'!D23)/('Cuadro 2-Bocas del Toro'!D23+'Cuadro 3-Coclé'!D23+'Cuadro 4-Colón'!D23+'Cuadro 5-Chiriquí'!D23+'Cuadro 6-Darién'!D23+'Cuadro 7-Herrera'!D23+'Cuadro 8-Los Santos'!D23+'Cuadro 9-Panamá'!D23+'Cuadro 10-Panamá Oeste'!D23+'Cuadro 11-Veraguas'!D23)*100,"")</f>
        <v>2.5278547254100205</v>
      </c>
      <c r="N23" s="47"/>
    </row>
    <row r="24" spans="1:14" ht="32.25" customHeight="1">
      <c r="A24" s="21" t="s">
        <v>25</v>
      </c>
      <c r="B24" s="37" t="s">
        <v>34</v>
      </c>
      <c r="C24" s="145">
        <f>IFERROR(('Cuadro 2-Bocas del Toro'!D24+'Cuadro 3-Coclé'!D24+'Cuadro 4-Colón'!D24+'Cuadro 5-Chiriquí'!D24+'Cuadro 6-Darién'!D24+'Cuadro 7-Herrera'!D24+'Cuadro 8-Los Santos'!D24+'Cuadro 9-Panamá'!D24+'Cuadro 10-Panamá Oeste'!D24+'Cuadro 11-Veraguas'!D24)/('Cuadro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100</v>
      </c>
      <c r="D24" s="145">
        <f>IFERROR(('Cuadro 2-Bocas del Toro'!D24)/('Cuadro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1.6098066074972293</v>
      </c>
      <c r="E24" s="145">
        <f>IFERROR(('Cuadro 3-Coclé'!D24)/('Cuadro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3.0957420155891877</v>
      </c>
      <c r="F24" s="145">
        <f>IFERROR(('Cuadro 4-Colón'!D24)/('Cuadro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8.5535367453378477</v>
      </c>
      <c r="G24" s="145">
        <f>IFERROR(('Cuadro 5-Chiriquí'!D24)/('Cuadro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7.6752694446586913</v>
      </c>
      <c r="H24" s="145">
        <f>IFERROR(('Cuadro 6-Darién'!D24)/('Cuadro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0.29293779519342661</v>
      </c>
      <c r="I24" s="145">
        <f>IFERROR(('Cuadro 7-Herrera'!D24)/('Cuadro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1.9921016027210956</v>
      </c>
      <c r="J24" s="145">
        <f>IFERROR(('Cuadro 8-Los Santos'!D24)/('Cuadro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1.3636233352463047</v>
      </c>
      <c r="K24" s="145">
        <f>IFERROR(('Cuadro 9-Panamá'!D24)/('Cuadro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58.589989361995663</v>
      </c>
      <c r="L24" s="132">
        <f>IFERROR(('Cuadro 10-Panamá Oeste'!D24)/('Cuadro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13.873532061007921</v>
      </c>
      <c r="M24" s="117">
        <f>IFERROR(('Cuadro 11-Veraguas'!D24)/('Cuadro 2-Bocas del Toro'!D24+'Cuadro 3-Coclé'!D24+'Cuadro 4-Colón'!D24+'Cuadro 5-Chiriquí'!D24+'Cuadro 6-Darién'!D24+'Cuadro 7-Herrera'!D24+'Cuadro 8-Los Santos'!D24+'Cuadro 9-Panamá'!D24+'Cuadro 10-Panamá Oeste'!D24+'Cuadro 11-Veraguas'!D24)*100,"")</f>
        <v>2.9534610307526372</v>
      </c>
      <c r="N24" s="47"/>
    </row>
    <row r="25" spans="1:14" ht="50.25" customHeight="1">
      <c r="A25" s="30"/>
      <c r="B25" s="38" t="s">
        <v>35</v>
      </c>
      <c r="C25" s="146">
        <f>IFERROR(('Cuadro 2-Bocas del Toro'!D25+'Cuadro 3-Coclé'!D25+'Cuadro 4-Colón'!D25+'Cuadro 5-Chiriquí'!D25+'Cuadro 6-Darién'!D25+'Cuadro 7-Herrera'!D25+'Cuadro 8-Los Santos'!D25+'Cuadro 9-Panamá'!D25+'Cuadro 10-Panamá Oeste'!D25+'Cuadro 11-Veraguas'!D25)/('Cuadro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100</v>
      </c>
      <c r="D25" s="146">
        <f>IFERROR(('Cuadro 2-Bocas del Toro'!D25)/('Cuadro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1.2659877400552446</v>
      </c>
      <c r="E25" s="146">
        <f>IFERROR(('Cuadro 3-Coclé'!D25)/('Cuadro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3.0570577024308756</v>
      </c>
      <c r="F25" s="146">
        <f>IFERROR(('Cuadro 4-Colón'!D25)/('Cuadro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15.111022186152271</v>
      </c>
      <c r="G25" s="146">
        <f>IFERROR(('Cuadro 5-Chiriquí'!D25)/('Cuadro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5.9013153693962277</v>
      </c>
      <c r="H25" s="146">
        <f>IFERROR(('Cuadro 6-Darién'!D25)/('Cuadro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0.3593456939432183</v>
      </c>
      <c r="I25" s="146">
        <f>IFERROR(('Cuadro 7-Herrera'!D25)/('Cuadro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1.1627920869624901</v>
      </c>
      <c r="J25" s="146">
        <f>IFERROR(('Cuadro 8-Los Santos'!D25)/('Cuadro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1.2827580821583255</v>
      </c>
      <c r="K25" s="146">
        <f>IFERROR(('Cuadro 9-Panamá'!D25)/('Cuadro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59.184149675602107</v>
      </c>
      <c r="L25" s="144">
        <f>IFERROR(('Cuadro 10-Panamá Oeste'!D25)/('Cuadro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10.133836464156316</v>
      </c>
      <c r="M25" s="129">
        <f>IFERROR(('Cuadro 11-Veraguas'!D25)/('Cuadro 2-Bocas del Toro'!D25+'Cuadro 3-Coclé'!D25+'Cuadro 4-Colón'!D25+'Cuadro 5-Chiriquí'!D25+'Cuadro 6-Darién'!D25+'Cuadro 7-Herrera'!D25+'Cuadro 8-Los Santos'!D25+'Cuadro 9-Panamá'!D25+'Cuadro 10-Panamá Oeste'!D25+'Cuadro 11-Veraguas'!D25)*100,"")</f>
        <v>2.5417349991429048</v>
      </c>
      <c r="N25" s="47"/>
    </row>
    <row r="26" spans="1:14" ht="13.5" customHeight="1">
      <c r="A26" s="7"/>
      <c r="B26" s="17"/>
      <c r="C26" s="39"/>
      <c r="D26" s="41"/>
      <c r="E26" s="39"/>
      <c r="F26" s="39"/>
      <c r="G26" s="39"/>
      <c r="H26" s="39"/>
      <c r="I26" s="39"/>
      <c r="J26" s="39"/>
      <c r="K26" s="39"/>
      <c r="L26" s="39"/>
      <c r="M26" s="39"/>
      <c r="N26" s="113"/>
    </row>
    <row r="27" spans="1:14" ht="13.5" customHeight="1">
      <c r="A27" s="222" t="s">
        <v>65</v>
      </c>
      <c r="B27" s="222"/>
      <c r="C27" s="222"/>
      <c r="D27" s="222"/>
      <c r="E27" s="222"/>
      <c r="F27" s="222"/>
      <c r="G27" s="9"/>
      <c r="H27" s="9"/>
      <c r="I27" s="8"/>
      <c r="J27" s="8"/>
      <c r="K27" s="8"/>
      <c r="L27" s="8"/>
    </row>
    <row r="28" spans="1:14" s="9" customFormat="1" ht="13.5" customHeight="1">
      <c r="A28" s="64" t="s">
        <v>82</v>
      </c>
      <c r="B28" s="43"/>
      <c r="C28" s="43"/>
      <c r="D28" s="43"/>
      <c r="E28" s="43"/>
      <c r="F28" s="43"/>
      <c r="I28" s="12"/>
      <c r="J28" s="12"/>
      <c r="K28" s="12"/>
      <c r="L28" s="12"/>
      <c r="N28" s="92"/>
    </row>
    <row r="29" spans="1:14" s="9" customFormat="1" ht="13.5" customHeight="1">
      <c r="A29" s="64" t="s">
        <v>81</v>
      </c>
      <c r="B29" s="43"/>
      <c r="C29" s="43"/>
      <c r="D29" s="43"/>
      <c r="E29" s="43"/>
      <c r="F29" s="43"/>
      <c r="I29" s="10"/>
      <c r="J29" s="10"/>
      <c r="K29" s="1"/>
      <c r="L29" s="1"/>
      <c r="N29" s="92"/>
    </row>
    <row r="30" spans="1:14" s="9" customFormat="1" ht="13.5" customHeight="1">
      <c r="A30" s="64" t="s">
        <v>351</v>
      </c>
      <c r="B30" s="64"/>
      <c r="C30" s="64"/>
      <c r="D30" s="64"/>
      <c r="E30" s="64"/>
      <c r="F30" s="64"/>
      <c r="I30" s="10"/>
      <c r="J30" s="10"/>
      <c r="K30" s="1"/>
      <c r="L30" s="1"/>
      <c r="N30" s="92"/>
    </row>
    <row r="31" spans="1:14" s="9" customFormat="1" ht="13.5" customHeight="1">
      <c r="A31" s="64" t="s">
        <v>98</v>
      </c>
      <c r="B31" s="64"/>
      <c r="C31" s="64"/>
      <c r="D31" s="64"/>
      <c r="E31" s="64"/>
      <c r="F31" s="64"/>
      <c r="G31" s="10"/>
      <c r="H31" s="10"/>
      <c r="I31" s="10"/>
      <c r="J31" s="10"/>
      <c r="K31" s="1"/>
      <c r="L31" s="1"/>
      <c r="N31" s="92"/>
    </row>
    <row r="32" spans="1:14" s="9" customFormat="1" ht="13.5" customHeight="1">
      <c r="A32" s="18" t="s">
        <v>99</v>
      </c>
      <c r="B32" s="45"/>
      <c r="G32" s="10"/>
      <c r="H32" s="10"/>
      <c r="I32" s="10"/>
      <c r="J32" s="10"/>
      <c r="K32" s="1"/>
      <c r="L32" s="1"/>
      <c r="N32" s="92"/>
    </row>
    <row r="33" spans="1:14" s="9" customFormat="1" ht="13.5" customHeight="1">
      <c r="A33" s="18" t="s">
        <v>36</v>
      </c>
      <c r="B33" s="104"/>
      <c r="G33" s="10"/>
      <c r="H33" s="10"/>
      <c r="I33" s="10"/>
      <c r="J33" s="10"/>
      <c r="K33" s="1"/>
      <c r="L33" s="1"/>
      <c r="N33" s="92"/>
    </row>
    <row r="34" spans="1:14" s="9" customFormat="1" ht="13.5" customHeight="1">
      <c r="A34" s="9" t="s">
        <v>37</v>
      </c>
      <c r="B34" s="46"/>
      <c r="C34" s="100"/>
      <c r="D34" s="100"/>
      <c r="E34" s="101"/>
      <c r="F34" s="101"/>
      <c r="G34" s="10"/>
      <c r="H34" s="10"/>
      <c r="I34" s="10"/>
      <c r="J34" s="10"/>
      <c r="K34" s="1"/>
      <c r="L34" s="1"/>
      <c r="N34" s="92"/>
    </row>
    <row r="35" spans="1:14" s="9" customFormat="1" ht="13.5" customHeight="1">
      <c r="A35" s="9" t="s">
        <v>86</v>
      </c>
      <c r="B35" s="101"/>
      <c r="C35" s="100"/>
      <c r="D35" s="100"/>
      <c r="E35" s="101"/>
      <c r="F35" s="101"/>
      <c r="G35" s="103"/>
      <c r="H35" s="103"/>
      <c r="I35" s="103"/>
      <c r="J35" s="103"/>
      <c r="K35" s="103"/>
      <c r="L35" s="1"/>
      <c r="N35" s="92"/>
    </row>
    <row r="36" spans="1:14" ht="13.5" customHeight="1">
      <c r="A36" s="18"/>
      <c r="B36" s="64"/>
      <c r="C36" s="64"/>
      <c r="D36" s="64"/>
      <c r="E36" s="100"/>
      <c r="F36" s="100"/>
      <c r="G36" s="48"/>
      <c r="H36" s="48"/>
      <c r="I36" s="48"/>
      <c r="J36" s="48"/>
      <c r="K36" s="48"/>
    </row>
    <row r="37" spans="1:14" ht="13.5" customHeight="1">
      <c r="A37" s="226"/>
      <c r="B37" s="226"/>
      <c r="C37" s="226"/>
      <c r="D37" s="226"/>
      <c r="E37" s="226"/>
      <c r="F37" s="226"/>
    </row>
    <row r="38" spans="1:14"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4">
      <c r="C39" s="48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4">
      <c r="C40" s="48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1:14">
      <c r="C41" s="48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1:14"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</sheetData>
  <mergeCells count="5">
    <mergeCell ref="A37:F37"/>
    <mergeCell ref="A5:A6"/>
    <mergeCell ref="C5:M5"/>
    <mergeCell ref="A27:F27"/>
    <mergeCell ref="B5:B6"/>
  </mergeCells>
  <hyperlinks>
    <hyperlink ref="O5" location="Índice!A1" display="Índice"/>
  </hyperlinks>
  <printOptions horizontalCentered="1"/>
  <pageMargins left="0.70866141732283472" right="0.70866141732283472" top="0.74803149606299213" bottom="0.74803149606299213" header="0.31496062992125984" footer="0.31496062992125984"/>
  <pageSetup scale="37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pageSetUpPr fitToPage="1"/>
  </sheetPr>
  <dimension ref="A1:O40"/>
  <sheetViews>
    <sheetView zoomScaleNormal="100" zoomScaleSheetLayoutView="62" workbookViewId="0"/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89"/>
    <col min="15" max="241" width="11" style="1"/>
    <col min="242" max="242" width="17" style="1" customWidth="1"/>
    <col min="243" max="243" width="48.28515625" style="1" customWidth="1"/>
    <col min="244" max="250" width="13.5703125" style="1" customWidth="1"/>
    <col min="251" max="251" width="15.42578125" style="1" customWidth="1"/>
    <col min="252" max="254" width="13.5703125" style="1" customWidth="1"/>
    <col min="255" max="497" width="11" style="1"/>
    <col min="498" max="498" width="17" style="1" customWidth="1"/>
    <col min="499" max="499" width="48.28515625" style="1" customWidth="1"/>
    <col min="500" max="506" width="13.5703125" style="1" customWidth="1"/>
    <col min="507" max="507" width="15.42578125" style="1" customWidth="1"/>
    <col min="508" max="510" width="13.5703125" style="1" customWidth="1"/>
    <col min="511" max="753" width="11" style="1"/>
    <col min="754" max="754" width="17" style="1" customWidth="1"/>
    <col min="755" max="755" width="48.28515625" style="1" customWidth="1"/>
    <col min="756" max="762" width="13.5703125" style="1" customWidth="1"/>
    <col min="763" max="763" width="15.42578125" style="1" customWidth="1"/>
    <col min="764" max="766" width="13.5703125" style="1" customWidth="1"/>
    <col min="767" max="1009" width="11" style="1"/>
    <col min="1010" max="1010" width="17" style="1" customWidth="1"/>
    <col min="1011" max="1011" width="48.28515625" style="1" customWidth="1"/>
    <col min="1012" max="1018" width="13.5703125" style="1" customWidth="1"/>
    <col min="1019" max="1019" width="15.42578125" style="1" customWidth="1"/>
    <col min="1020" max="1022" width="13.5703125" style="1" customWidth="1"/>
    <col min="1023" max="1265" width="11" style="1"/>
    <col min="1266" max="1266" width="17" style="1" customWidth="1"/>
    <col min="1267" max="1267" width="48.28515625" style="1" customWidth="1"/>
    <col min="1268" max="1274" width="13.5703125" style="1" customWidth="1"/>
    <col min="1275" max="1275" width="15.42578125" style="1" customWidth="1"/>
    <col min="1276" max="1278" width="13.5703125" style="1" customWidth="1"/>
    <col min="1279" max="1521" width="11" style="1"/>
    <col min="1522" max="1522" width="17" style="1" customWidth="1"/>
    <col min="1523" max="1523" width="48.28515625" style="1" customWidth="1"/>
    <col min="1524" max="1530" width="13.5703125" style="1" customWidth="1"/>
    <col min="1531" max="1531" width="15.42578125" style="1" customWidth="1"/>
    <col min="1532" max="1534" width="13.5703125" style="1" customWidth="1"/>
    <col min="1535" max="1777" width="11" style="1"/>
    <col min="1778" max="1778" width="17" style="1" customWidth="1"/>
    <col min="1779" max="1779" width="48.28515625" style="1" customWidth="1"/>
    <col min="1780" max="1786" width="13.5703125" style="1" customWidth="1"/>
    <col min="1787" max="1787" width="15.42578125" style="1" customWidth="1"/>
    <col min="1788" max="1790" width="13.5703125" style="1" customWidth="1"/>
    <col min="1791" max="2033" width="11" style="1"/>
    <col min="2034" max="2034" width="17" style="1" customWidth="1"/>
    <col min="2035" max="2035" width="48.28515625" style="1" customWidth="1"/>
    <col min="2036" max="2042" width="13.5703125" style="1" customWidth="1"/>
    <col min="2043" max="2043" width="15.42578125" style="1" customWidth="1"/>
    <col min="2044" max="2046" width="13.5703125" style="1" customWidth="1"/>
    <col min="2047" max="2289" width="11" style="1"/>
    <col min="2290" max="2290" width="17" style="1" customWidth="1"/>
    <col min="2291" max="2291" width="48.28515625" style="1" customWidth="1"/>
    <col min="2292" max="2298" width="13.5703125" style="1" customWidth="1"/>
    <col min="2299" max="2299" width="15.42578125" style="1" customWidth="1"/>
    <col min="2300" max="2302" width="13.5703125" style="1" customWidth="1"/>
    <col min="2303" max="2545" width="11" style="1"/>
    <col min="2546" max="2546" width="17" style="1" customWidth="1"/>
    <col min="2547" max="2547" width="48.28515625" style="1" customWidth="1"/>
    <col min="2548" max="2554" width="13.5703125" style="1" customWidth="1"/>
    <col min="2555" max="2555" width="15.42578125" style="1" customWidth="1"/>
    <col min="2556" max="2558" width="13.5703125" style="1" customWidth="1"/>
    <col min="2559" max="2801" width="11" style="1"/>
    <col min="2802" max="2802" width="17" style="1" customWidth="1"/>
    <col min="2803" max="2803" width="48.28515625" style="1" customWidth="1"/>
    <col min="2804" max="2810" width="13.5703125" style="1" customWidth="1"/>
    <col min="2811" max="2811" width="15.42578125" style="1" customWidth="1"/>
    <col min="2812" max="2814" width="13.5703125" style="1" customWidth="1"/>
    <col min="2815" max="3057" width="11" style="1"/>
    <col min="3058" max="3058" width="17" style="1" customWidth="1"/>
    <col min="3059" max="3059" width="48.28515625" style="1" customWidth="1"/>
    <col min="3060" max="3066" width="13.5703125" style="1" customWidth="1"/>
    <col min="3067" max="3067" width="15.42578125" style="1" customWidth="1"/>
    <col min="3068" max="3070" width="13.5703125" style="1" customWidth="1"/>
    <col min="3071" max="3313" width="11" style="1"/>
    <col min="3314" max="3314" width="17" style="1" customWidth="1"/>
    <col min="3315" max="3315" width="48.28515625" style="1" customWidth="1"/>
    <col min="3316" max="3322" width="13.5703125" style="1" customWidth="1"/>
    <col min="3323" max="3323" width="15.42578125" style="1" customWidth="1"/>
    <col min="3324" max="3326" width="13.5703125" style="1" customWidth="1"/>
    <col min="3327" max="3569" width="11" style="1"/>
    <col min="3570" max="3570" width="17" style="1" customWidth="1"/>
    <col min="3571" max="3571" width="48.28515625" style="1" customWidth="1"/>
    <col min="3572" max="3578" width="13.5703125" style="1" customWidth="1"/>
    <col min="3579" max="3579" width="15.42578125" style="1" customWidth="1"/>
    <col min="3580" max="3582" width="13.5703125" style="1" customWidth="1"/>
    <col min="3583" max="3825" width="11" style="1"/>
    <col min="3826" max="3826" width="17" style="1" customWidth="1"/>
    <col min="3827" max="3827" width="48.28515625" style="1" customWidth="1"/>
    <col min="3828" max="3834" width="13.5703125" style="1" customWidth="1"/>
    <col min="3835" max="3835" width="15.42578125" style="1" customWidth="1"/>
    <col min="3836" max="3838" width="13.5703125" style="1" customWidth="1"/>
    <col min="3839" max="4081" width="11" style="1"/>
    <col min="4082" max="4082" width="17" style="1" customWidth="1"/>
    <col min="4083" max="4083" width="48.28515625" style="1" customWidth="1"/>
    <col min="4084" max="4090" width="13.5703125" style="1" customWidth="1"/>
    <col min="4091" max="4091" width="15.42578125" style="1" customWidth="1"/>
    <col min="4092" max="4094" width="13.5703125" style="1" customWidth="1"/>
    <col min="4095" max="4337" width="11" style="1"/>
    <col min="4338" max="4338" width="17" style="1" customWidth="1"/>
    <col min="4339" max="4339" width="48.28515625" style="1" customWidth="1"/>
    <col min="4340" max="4346" width="13.5703125" style="1" customWidth="1"/>
    <col min="4347" max="4347" width="15.42578125" style="1" customWidth="1"/>
    <col min="4348" max="4350" width="13.5703125" style="1" customWidth="1"/>
    <col min="4351" max="4593" width="11" style="1"/>
    <col min="4594" max="4594" width="17" style="1" customWidth="1"/>
    <col min="4595" max="4595" width="48.28515625" style="1" customWidth="1"/>
    <col min="4596" max="4602" width="13.5703125" style="1" customWidth="1"/>
    <col min="4603" max="4603" width="15.42578125" style="1" customWidth="1"/>
    <col min="4604" max="4606" width="13.5703125" style="1" customWidth="1"/>
    <col min="4607" max="4849" width="11" style="1"/>
    <col min="4850" max="4850" width="17" style="1" customWidth="1"/>
    <col min="4851" max="4851" width="48.28515625" style="1" customWidth="1"/>
    <col min="4852" max="4858" width="13.5703125" style="1" customWidth="1"/>
    <col min="4859" max="4859" width="15.42578125" style="1" customWidth="1"/>
    <col min="4860" max="4862" width="13.5703125" style="1" customWidth="1"/>
    <col min="4863" max="5105" width="11" style="1"/>
    <col min="5106" max="5106" width="17" style="1" customWidth="1"/>
    <col min="5107" max="5107" width="48.28515625" style="1" customWidth="1"/>
    <col min="5108" max="5114" width="13.5703125" style="1" customWidth="1"/>
    <col min="5115" max="5115" width="15.42578125" style="1" customWidth="1"/>
    <col min="5116" max="5118" width="13.5703125" style="1" customWidth="1"/>
    <col min="5119" max="5361" width="11" style="1"/>
    <col min="5362" max="5362" width="17" style="1" customWidth="1"/>
    <col min="5363" max="5363" width="48.28515625" style="1" customWidth="1"/>
    <col min="5364" max="5370" width="13.5703125" style="1" customWidth="1"/>
    <col min="5371" max="5371" width="15.42578125" style="1" customWidth="1"/>
    <col min="5372" max="5374" width="13.5703125" style="1" customWidth="1"/>
    <col min="5375" max="5617" width="11" style="1"/>
    <col min="5618" max="5618" width="17" style="1" customWidth="1"/>
    <col min="5619" max="5619" width="48.28515625" style="1" customWidth="1"/>
    <col min="5620" max="5626" width="13.5703125" style="1" customWidth="1"/>
    <col min="5627" max="5627" width="15.42578125" style="1" customWidth="1"/>
    <col min="5628" max="5630" width="13.5703125" style="1" customWidth="1"/>
    <col min="5631" max="5873" width="11" style="1"/>
    <col min="5874" max="5874" width="17" style="1" customWidth="1"/>
    <col min="5875" max="5875" width="48.28515625" style="1" customWidth="1"/>
    <col min="5876" max="5882" width="13.5703125" style="1" customWidth="1"/>
    <col min="5883" max="5883" width="15.42578125" style="1" customWidth="1"/>
    <col min="5884" max="5886" width="13.5703125" style="1" customWidth="1"/>
    <col min="5887" max="6129" width="11" style="1"/>
    <col min="6130" max="6130" width="17" style="1" customWidth="1"/>
    <col min="6131" max="6131" width="48.28515625" style="1" customWidth="1"/>
    <col min="6132" max="6138" width="13.5703125" style="1" customWidth="1"/>
    <col min="6139" max="6139" width="15.42578125" style="1" customWidth="1"/>
    <col min="6140" max="6142" width="13.5703125" style="1" customWidth="1"/>
    <col min="6143" max="6385" width="11" style="1"/>
    <col min="6386" max="6386" width="17" style="1" customWidth="1"/>
    <col min="6387" max="6387" width="48.28515625" style="1" customWidth="1"/>
    <col min="6388" max="6394" width="13.5703125" style="1" customWidth="1"/>
    <col min="6395" max="6395" width="15.42578125" style="1" customWidth="1"/>
    <col min="6396" max="6398" width="13.5703125" style="1" customWidth="1"/>
    <col min="6399" max="6641" width="11" style="1"/>
    <col min="6642" max="6642" width="17" style="1" customWidth="1"/>
    <col min="6643" max="6643" width="48.28515625" style="1" customWidth="1"/>
    <col min="6644" max="6650" width="13.5703125" style="1" customWidth="1"/>
    <col min="6651" max="6651" width="15.42578125" style="1" customWidth="1"/>
    <col min="6652" max="6654" width="13.5703125" style="1" customWidth="1"/>
    <col min="6655" max="6897" width="11" style="1"/>
    <col min="6898" max="6898" width="17" style="1" customWidth="1"/>
    <col min="6899" max="6899" width="48.28515625" style="1" customWidth="1"/>
    <col min="6900" max="6906" width="13.5703125" style="1" customWidth="1"/>
    <col min="6907" max="6907" width="15.42578125" style="1" customWidth="1"/>
    <col min="6908" max="6910" width="13.5703125" style="1" customWidth="1"/>
    <col min="6911" max="7153" width="11" style="1"/>
    <col min="7154" max="7154" width="17" style="1" customWidth="1"/>
    <col min="7155" max="7155" width="48.28515625" style="1" customWidth="1"/>
    <col min="7156" max="7162" width="13.5703125" style="1" customWidth="1"/>
    <col min="7163" max="7163" width="15.42578125" style="1" customWidth="1"/>
    <col min="7164" max="7166" width="13.5703125" style="1" customWidth="1"/>
    <col min="7167" max="7409" width="11" style="1"/>
    <col min="7410" max="7410" width="17" style="1" customWidth="1"/>
    <col min="7411" max="7411" width="48.28515625" style="1" customWidth="1"/>
    <col min="7412" max="7418" width="13.5703125" style="1" customWidth="1"/>
    <col min="7419" max="7419" width="15.42578125" style="1" customWidth="1"/>
    <col min="7420" max="7422" width="13.5703125" style="1" customWidth="1"/>
    <col min="7423" max="7665" width="11" style="1"/>
    <col min="7666" max="7666" width="17" style="1" customWidth="1"/>
    <col min="7667" max="7667" width="48.28515625" style="1" customWidth="1"/>
    <col min="7668" max="7674" width="13.5703125" style="1" customWidth="1"/>
    <col min="7675" max="7675" width="15.42578125" style="1" customWidth="1"/>
    <col min="7676" max="7678" width="13.5703125" style="1" customWidth="1"/>
    <col min="7679" max="7921" width="11" style="1"/>
    <col min="7922" max="7922" width="17" style="1" customWidth="1"/>
    <col min="7923" max="7923" width="48.28515625" style="1" customWidth="1"/>
    <col min="7924" max="7930" width="13.5703125" style="1" customWidth="1"/>
    <col min="7931" max="7931" width="15.42578125" style="1" customWidth="1"/>
    <col min="7932" max="7934" width="13.5703125" style="1" customWidth="1"/>
    <col min="7935" max="8177" width="11" style="1"/>
    <col min="8178" max="8178" width="17" style="1" customWidth="1"/>
    <col min="8179" max="8179" width="48.28515625" style="1" customWidth="1"/>
    <col min="8180" max="8186" width="13.5703125" style="1" customWidth="1"/>
    <col min="8187" max="8187" width="15.42578125" style="1" customWidth="1"/>
    <col min="8188" max="8190" width="13.5703125" style="1" customWidth="1"/>
    <col min="8191" max="8433" width="11" style="1"/>
    <col min="8434" max="8434" width="17" style="1" customWidth="1"/>
    <col min="8435" max="8435" width="48.28515625" style="1" customWidth="1"/>
    <col min="8436" max="8442" width="13.5703125" style="1" customWidth="1"/>
    <col min="8443" max="8443" width="15.42578125" style="1" customWidth="1"/>
    <col min="8444" max="8446" width="13.5703125" style="1" customWidth="1"/>
    <col min="8447" max="8689" width="11" style="1"/>
    <col min="8690" max="8690" width="17" style="1" customWidth="1"/>
    <col min="8691" max="8691" width="48.28515625" style="1" customWidth="1"/>
    <col min="8692" max="8698" width="13.5703125" style="1" customWidth="1"/>
    <col min="8699" max="8699" width="15.42578125" style="1" customWidth="1"/>
    <col min="8700" max="8702" width="13.5703125" style="1" customWidth="1"/>
    <col min="8703" max="8945" width="11" style="1"/>
    <col min="8946" max="8946" width="17" style="1" customWidth="1"/>
    <col min="8947" max="8947" width="48.28515625" style="1" customWidth="1"/>
    <col min="8948" max="8954" width="13.5703125" style="1" customWidth="1"/>
    <col min="8955" max="8955" width="15.42578125" style="1" customWidth="1"/>
    <col min="8956" max="8958" width="13.5703125" style="1" customWidth="1"/>
    <col min="8959" max="9201" width="11" style="1"/>
    <col min="9202" max="9202" width="17" style="1" customWidth="1"/>
    <col min="9203" max="9203" width="48.28515625" style="1" customWidth="1"/>
    <col min="9204" max="9210" width="13.5703125" style="1" customWidth="1"/>
    <col min="9211" max="9211" width="15.42578125" style="1" customWidth="1"/>
    <col min="9212" max="9214" width="13.5703125" style="1" customWidth="1"/>
    <col min="9215" max="9457" width="11" style="1"/>
    <col min="9458" max="9458" width="17" style="1" customWidth="1"/>
    <col min="9459" max="9459" width="48.28515625" style="1" customWidth="1"/>
    <col min="9460" max="9466" width="13.5703125" style="1" customWidth="1"/>
    <col min="9467" max="9467" width="15.42578125" style="1" customWidth="1"/>
    <col min="9468" max="9470" width="13.5703125" style="1" customWidth="1"/>
    <col min="9471" max="9713" width="11" style="1"/>
    <col min="9714" max="9714" width="17" style="1" customWidth="1"/>
    <col min="9715" max="9715" width="48.28515625" style="1" customWidth="1"/>
    <col min="9716" max="9722" width="13.5703125" style="1" customWidth="1"/>
    <col min="9723" max="9723" width="15.42578125" style="1" customWidth="1"/>
    <col min="9724" max="9726" width="13.5703125" style="1" customWidth="1"/>
    <col min="9727" max="9969" width="11" style="1"/>
    <col min="9970" max="9970" width="17" style="1" customWidth="1"/>
    <col min="9971" max="9971" width="48.28515625" style="1" customWidth="1"/>
    <col min="9972" max="9978" width="13.5703125" style="1" customWidth="1"/>
    <col min="9979" max="9979" width="15.42578125" style="1" customWidth="1"/>
    <col min="9980" max="9982" width="13.5703125" style="1" customWidth="1"/>
    <col min="9983" max="10225" width="11" style="1"/>
    <col min="10226" max="10226" width="17" style="1" customWidth="1"/>
    <col min="10227" max="10227" width="48.28515625" style="1" customWidth="1"/>
    <col min="10228" max="10234" width="13.5703125" style="1" customWidth="1"/>
    <col min="10235" max="10235" width="15.42578125" style="1" customWidth="1"/>
    <col min="10236" max="10238" width="13.5703125" style="1" customWidth="1"/>
    <col min="10239" max="10481" width="11" style="1"/>
    <col min="10482" max="10482" width="17" style="1" customWidth="1"/>
    <col min="10483" max="10483" width="48.28515625" style="1" customWidth="1"/>
    <col min="10484" max="10490" width="13.5703125" style="1" customWidth="1"/>
    <col min="10491" max="10491" width="15.42578125" style="1" customWidth="1"/>
    <col min="10492" max="10494" width="13.5703125" style="1" customWidth="1"/>
    <col min="10495" max="10737" width="11" style="1"/>
    <col min="10738" max="10738" width="17" style="1" customWidth="1"/>
    <col min="10739" max="10739" width="48.28515625" style="1" customWidth="1"/>
    <col min="10740" max="10746" width="13.5703125" style="1" customWidth="1"/>
    <col min="10747" max="10747" width="15.42578125" style="1" customWidth="1"/>
    <col min="10748" max="10750" width="13.5703125" style="1" customWidth="1"/>
    <col min="10751" max="10993" width="11" style="1"/>
    <col min="10994" max="10994" width="17" style="1" customWidth="1"/>
    <col min="10995" max="10995" width="48.28515625" style="1" customWidth="1"/>
    <col min="10996" max="11002" width="13.5703125" style="1" customWidth="1"/>
    <col min="11003" max="11003" width="15.42578125" style="1" customWidth="1"/>
    <col min="11004" max="11006" width="13.5703125" style="1" customWidth="1"/>
    <col min="11007" max="11249" width="11" style="1"/>
    <col min="11250" max="11250" width="17" style="1" customWidth="1"/>
    <col min="11251" max="11251" width="48.28515625" style="1" customWidth="1"/>
    <col min="11252" max="11258" width="13.5703125" style="1" customWidth="1"/>
    <col min="11259" max="11259" width="15.42578125" style="1" customWidth="1"/>
    <col min="11260" max="11262" width="13.5703125" style="1" customWidth="1"/>
    <col min="11263" max="11505" width="11" style="1"/>
    <col min="11506" max="11506" width="17" style="1" customWidth="1"/>
    <col min="11507" max="11507" width="48.28515625" style="1" customWidth="1"/>
    <col min="11508" max="11514" width="13.5703125" style="1" customWidth="1"/>
    <col min="11515" max="11515" width="15.42578125" style="1" customWidth="1"/>
    <col min="11516" max="11518" width="13.5703125" style="1" customWidth="1"/>
    <col min="11519" max="11761" width="11" style="1"/>
    <col min="11762" max="11762" width="17" style="1" customWidth="1"/>
    <col min="11763" max="11763" width="48.28515625" style="1" customWidth="1"/>
    <col min="11764" max="11770" width="13.5703125" style="1" customWidth="1"/>
    <col min="11771" max="11771" width="15.42578125" style="1" customWidth="1"/>
    <col min="11772" max="11774" width="13.5703125" style="1" customWidth="1"/>
    <col min="11775" max="12017" width="11" style="1"/>
    <col min="12018" max="12018" width="17" style="1" customWidth="1"/>
    <col min="12019" max="12019" width="48.28515625" style="1" customWidth="1"/>
    <col min="12020" max="12026" width="13.5703125" style="1" customWidth="1"/>
    <col min="12027" max="12027" width="15.42578125" style="1" customWidth="1"/>
    <col min="12028" max="12030" width="13.5703125" style="1" customWidth="1"/>
    <col min="12031" max="12273" width="11" style="1"/>
    <col min="12274" max="12274" width="17" style="1" customWidth="1"/>
    <col min="12275" max="12275" width="48.28515625" style="1" customWidth="1"/>
    <col min="12276" max="12282" width="13.5703125" style="1" customWidth="1"/>
    <col min="12283" max="12283" width="15.42578125" style="1" customWidth="1"/>
    <col min="12284" max="12286" width="13.5703125" style="1" customWidth="1"/>
    <col min="12287" max="12529" width="11" style="1"/>
    <col min="12530" max="12530" width="17" style="1" customWidth="1"/>
    <col min="12531" max="12531" width="48.28515625" style="1" customWidth="1"/>
    <col min="12532" max="12538" width="13.5703125" style="1" customWidth="1"/>
    <col min="12539" max="12539" width="15.42578125" style="1" customWidth="1"/>
    <col min="12540" max="12542" width="13.5703125" style="1" customWidth="1"/>
    <col min="12543" max="12785" width="11" style="1"/>
    <col min="12786" max="12786" width="17" style="1" customWidth="1"/>
    <col min="12787" max="12787" width="48.28515625" style="1" customWidth="1"/>
    <col min="12788" max="12794" width="13.5703125" style="1" customWidth="1"/>
    <col min="12795" max="12795" width="15.42578125" style="1" customWidth="1"/>
    <col min="12796" max="12798" width="13.5703125" style="1" customWidth="1"/>
    <col min="12799" max="13041" width="11" style="1"/>
    <col min="13042" max="13042" width="17" style="1" customWidth="1"/>
    <col min="13043" max="13043" width="48.28515625" style="1" customWidth="1"/>
    <col min="13044" max="13050" width="13.5703125" style="1" customWidth="1"/>
    <col min="13051" max="13051" width="15.42578125" style="1" customWidth="1"/>
    <col min="13052" max="13054" width="13.5703125" style="1" customWidth="1"/>
    <col min="13055" max="13297" width="11" style="1"/>
    <col min="13298" max="13298" width="17" style="1" customWidth="1"/>
    <col min="13299" max="13299" width="48.28515625" style="1" customWidth="1"/>
    <col min="13300" max="13306" width="13.5703125" style="1" customWidth="1"/>
    <col min="13307" max="13307" width="15.42578125" style="1" customWidth="1"/>
    <col min="13308" max="13310" width="13.5703125" style="1" customWidth="1"/>
    <col min="13311" max="13553" width="11" style="1"/>
    <col min="13554" max="13554" width="17" style="1" customWidth="1"/>
    <col min="13555" max="13555" width="48.28515625" style="1" customWidth="1"/>
    <col min="13556" max="13562" width="13.5703125" style="1" customWidth="1"/>
    <col min="13563" max="13563" width="15.42578125" style="1" customWidth="1"/>
    <col min="13564" max="13566" width="13.5703125" style="1" customWidth="1"/>
    <col min="13567" max="13809" width="11" style="1"/>
    <col min="13810" max="13810" width="17" style="1" customWidth="1"/>
    <col min="13811" max="13811" width="48.28515625" style="1" customWidth="1"/>
    <col min="13812" max="13818" width="13.5703125" style="1" customWidth="1"/>
    <col min="13819" max="13819" width="15.42578125" style="1" customWidth="1"/>
    <col min="13820" max="13822" width="13.5703125" style="1" customWidth="1"/>
    <col min="13823" max="14065" width="11" style="1"/>
    <col min="14066" max="14066" width="17" style="1" customWidth="1"/>
    <col min="14067" max="14067" width="48.28515625" style="1" customWidth="1"/>
    <col min="14068" max="14074" width="13.5703125" style="1" customWidth="1"/>
    <col min="14075" max="14075" width="15.42578125" style="1" customWidth="1"/>
    <col min="14076" max="14078" width="13.5703125" style="1" customWidth="1"/>
    <col min="14079" max="14321" width="11" style="1"/>
    <col min="14322" max="14322" width="17" style="1" customWidth="1"/>
    <col min="14323" max="14323" width="48.28515625" style="1" customWidth="1"/>
    <col min="14324" max="14330" width="13.5703125" style="1" customWidth="1"/>
    <col min="14331" max="14331" width="15.42578125" style="1" customWidth="1"/>
    <col min="14332" max="14334" width="13.5703125" style="1" customWidth="1"/>
    <col min="14335" max="14577" width="11" style="1"/>
    <col min="14578" max="14578" width="17" style="1" customWidth="1"/>
    <col min="14579" max="14579" width="48.28515625" style="1" customWidth="1"/>
    <col min="14580" max="14586" width="13.5703125" style="1" customWidth="1"/>
    <col min="14587" max="14587" width="15.42578125" style="1" customWidth="1"/>
    <col min="14588" max="14590" width="13.5703125" style="1" customWidth="1"/>
    <col min="14591" max="14833" width="11" style="1"/>
    <col min="14834" max="14834" width="17" style="1" customWidth="1"/>
    <col min="14835" max="14835" width="48.28515625" style="1" customWidth="1"/>
    <col min="14836" max="14842" width="13.5703125" style="1" customWidth="1"/>
    <col min="14843" max="14843" width="15.42578125" style="1" customWidth="1"/>
    <col min="14844" max="14846" width="13.5703125" style="1" customWidth="1"/>
    <col min="14847" max="15089" width="11" style="1"/>
    <col min="15090" max="15090" width="17" style="1" customWidth="1"/>
    <col min="15091" max="15091" width="48.28515625" style="1" customWidth="1"/>
    <col min="15092" max="15098" width="13.5703125" style="1" customWidth="1"/>
    <col min="15099" max="15099" width="15.42578125" style="1" customWidth="1"/>
    <col min="15100" max="15102" width="13.5703125" style="1" customWidth="1"/>
    <col min="15103" max="15345" width="11" style="1"/>
    <col min="15346" max="15346" width="17" style="1" customWidth="1"/>
    <col min="15347" max="15347" width="48.28515625" style="1" customWidth="1"/>
    <col min="15348" max="15354" width="13.5703125" style="1" customWidth="1"/>
    <col min="15355" max="15355" width="15.42578125" style="1" customWidth="1"/>
    <col min="15356" max="15358" width="13.5703125" style="1" customWidth="1"/>
    <col min="15359" max="15601" width="11" style="1"/>
    <col min="15602" max="15602" width="17" style="1" customWidth="1"/>
    <col min="15603" max="15603" width="48.28515625" style="1" customWidth="1"/>
    <col min="15604" max="15610" width="13.5703125" style="1" customWidth="1"/>
    <col min="15611" max="15611" width="15.42578125" style="1" customWidth="1"/>
    <col min="15612" max="15614" width="13.5703125" style="1" customWidth="1"/>
    <col min="15615" max="15857" width="11" style="1"/>
    <col min="15858" max="15858" width="17" style="1" customWidth="1"/>
    <col min="15859" max="15859" width="48.28515625" style="1" customWidth="1"/>
    <col min="15860" max="15866" width="13.5703125" style="1" customWidth="1"/>
    <col min="15867" max="15867" width="15.42578125" style="1" customWidth="1"/>
    <col min="15868" max="15870" width="13.5703125" style="1" customWidth="1"/>
    <col min="15871" max="16113" width="11" style="1"/>
    <col min="16114" max="16114" width="17" style="1" customWidth="1"/>
    <col min="16115" max="16115" width="48.28515625" style="1" customWidth="1"/>
    <col min="16116" max="16122" width="13.5703125" style="1" customWidth="1"/>
    <col min="16123" max="16123" width="15.42578125" style="1" customWidth="1"/>
    <col min="16124" max="16126" width="13.5703125" style="1" customWidth="1"/>
    <col min="16127" max="16384" width="11" style="1"/>
  </cols>
  <sheetData>
    <row r="1" spans="1:15" ht="17.25" customHeight="1">
      <c r="A1" s="42" t="s">
        <v>179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O1" s="101"/>
    </row>
    <row r="2" spans="1:15" ht="17.25" customHeight="1">
      <c r="A2" s="191" t="s">
        <v>176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O2" s="101"/>
    </row>
    <row r="3" spans="1:15" s="9" customFormat="1" ht="17.25" customHeight="1">
      <c r="A3" s="185">
        <v>2020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O3" s="13"/>
    </row>
    <row r="4" spans="1:15" s="7" customFormat="1" ht="17.25" customHeight="1" thickBot="1">
      <c r="A4" s="185" t="s">
        <v>216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14"/>
      <c r="O4" s="114"/>
    </row>
    <row r="5" spans="1:15" s="7" customFormat="1" ht="37.5" customHeight="1" thickTop="1">
      <c r="A5" s="217" t="s">
        <v>29</v>
      </c>
      <c r="B5" s="217" t="s">
        <v>30</v>
      </c>
      <c r="C5" s="219" t="s">
        <v>48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  <c r="N5" s="112"/>
      <c r="O5" s="193" t="s">
        <v>42</v>
      </c>
    </row>
    <row r="6" spans="1:15" s="7" customFormat="1" ht="37.5" customHeight="1" thickBot="1">
      <c r="A6" s="223"/>
      <c r="B6" s="223"/>
      <c r="C6" s="133" t="s">
        <v>49</v>
      </c>
      <c r="D6" s="134" t="s">
        <v>12</v>
      </c>
      <c r="E6" s="133" t="s">
        <v>13</v>
      </c>
      <c r="F6" s="133" t="s">
        <v>14</v>
      </c>
      <c r="G6" s="133" t="s">
        <v>15</v>
      </c>
      <c r="H6" s="134" t="s">
        <v>16</v>
      </c>
      <c r="I6" s="133" t="s">
        <v>17</v>
      </c>
      <c r="J6" s="133" t="s">
        <v>18</v>
      </c>
      <c r="K6" s="133" t="s">
        <v>19</v>
      </c>
      <c r="L6" s="134" t="s">
        <v>24</v>
      </c>
      <c r="M6" s="133" t="s">
        <v>21</v>
      </c>
      <c r="N6" s="58"/>
    </row>
    <row r="7" spans="1:15" ht="32.25" customHeight="1" thickTop="1">
      <c r="A7" s="135" t="s">
        <v>0</v>
      </c>
      <c r="B7" s="136" t="s">
        <v>53</v>
      </c>
      <c r="C7" s="137">
        <f>IFERROR(('Cuadro 2-Bocas del Toro'!E7+'Cuadro 3-Coclé'!E7+'Cuadro 4-Colón'!E7+'Cuadro 5-Chiriquí'!E7+'Cuadro 6-Darién'!E7+'Cuadro 7-Herrera'!E7+'Cuadro 8-Los Santos'!E7+'Cuadro 9-Panamá'!E7+'Cuadro 10-Panamá Oeste'!E7+'Cuadro 11-Veraguas'!E7)/('Cuadro 2-Bocas del Toro'!E7+'Cuadro 3-Coclé'!E7+'Cuadro 4-Colón'!E7+'Cuadro 5-Chiriquí'!E7+'Cuadro 6-Darién'!E7+'Cuadro 7-Herrera'!E7+'Cuadro 8-Los Santos'!E7+'Cuadro 9-Panamá'!E7+'Cuadro 10-Panamá Oeste'!E7+'Cuadro 11-Veraguas'!E7)*100,"")</f>
        <v>100</v>
      </c>
      <c r="D7" s="137">
        <f>IFERROR(('Cuadro 2-Bocas del Toro'!E7)/('Cuadro 2-Bocas del Toro'!E7+'Cuadro 3-Coclé'!E7+'Cuadro 4-Colón'!E7+'Cuadro 5-Chiriquí'!E7+'Cuadro 6-Darién'!E7+'Cuadro 7-Herrera'!E7+'Cuadro 8-Los Santos'!E7+'Cuadro 9-Panamá'!E7+'Cuadro 10-Panamá Oeste'!E7+'Cuadro 11-Veraguas'!E7)*100,"")</f>
        <v>10.34180242071325</v>
      </c>
      <c r="E7" s="137">
        <f>IFERROR(('Cuadro 3-Coclé'!E7)/('Cuadro 2-Bocas del Toro'!E7+'Cuadro 3-Coclé'!E7+'Cuadro 4-Colón'!E7+'Cuadro 5-Chiriquí'!E7+'Cuadro 6-Darién'!E7+'Cuadro 7-Herrera'!E7+'Cuadro 8-Los Santos'!E7+'Cuadro 9-Panamá'!E7+'Cuadro 10-Panamá Oeste'!E7+'Cuadro 11-Veraguas'!E7)*100,"")</f>
        <v>10.444298383587649</v>
      </c>
      <c r="F7" s="137">
        <f>IFERROR(('Cuadro 4-Colón'!E7)/('Cuadro 2-Bocas del Toro'!E7+'Cuadro 3-Coclé'!E7+'Cuadro 4-Colón'!E7+'Cuadro 5-Chiriquí'!E7+'Cuadro 6-Darién'!E7+'Cuadro 7-Herrera'!E7+'Cuadro 8-Los Santos'!E7+'Cuadro 9-Panamá'!E7+'Cuadro 10-Panamá Oeste'!E7+'Cuadro 11-Veraguas'!E7)*100,"")</f>
        <v>2.818402791523646</v>
      </c>
      <c r="G7" s="137">
        <f>IFERROR(('Cuadro 5-Chiriquí'!E7)/('Cuadro 2-Bocas del Toro'!E7+'Cuadro 3-Coclé'!E7+'Cuadro 4-Colón'!E7+'Cuadro 5-Chiriquí'!E7+'Cuadro 6-Darién'!E7+'Cuadro 7-Herrera'!E7+'Cuadro 8-Los Santos'!E7+'Cuadro 9-Panamá'!E7+'Cuadro 10-Panamá Oeste'!E7+'Cuadro 11-Veraguas'!E7)*100,"")</f>
        <v>20.416268263697162</v>
      </c>
      <c r="H7" s="137">
        <f>IFERROR(('Cuadro 6-Darién'!E7)/('Cuadro 2-Bocas del Toro'!E7+'Cuadro 3-Coclé'!E7+'Cuadro 4-Colón'!E7+'Cuadro 5-Chiriquí'!E7+'Cuadro 6-Darién'!E7+'Cuadro 7-Herrera'!E7+'Cuadro 8-Los Santos'!E7+'Cuadro 9-Panamá'!E7+'Cuadro 10-Panamá Oeste'!E7+'Cuadro 11-Veraguas'!E7)*100,"")</f>
        <v>5.6673235560202917</v>
      </c>
      <c r="I7" s="137">
        <f>IFERROR(('Cuadro 7-Herrera'!E7)/('Cuadro 2-Bocas del Toro'!E7+'Cuadro 3-Coclé'!E7+'Cuadro 4-Colón'!E7+'Cuadro 5-Chiriquí'!E7+'Cuadro 6-Darién'!E7+'Cuadro 7-Herrera'!E7+'Cuadro 8-Los Santos'!E7+'Cuadro 9-Panamá'!E7+'Cuadro 10-Panamá Oeste'!E7+'Cuadro 11-Veraguas'!E7)*100,"")</f>
        <v>4.9769831941774063</v>
      </c>
      <c r="J7" s="137">
        <f>IFERROR(('Cuadro 8-Los Santos'!E7)/('Cuadro 2-Bocas del Toro'!E7+'Cuadro 3-Coclé'!E7+'Cuadro 4-Colón'!E7+'Cuadro 5-Chiriquí'!E7+'Cuadro 6-Darién'!E7+'Cuadro 7-Herrera'!E7+'Cuadro 8-Los Santos'!E7+'Cuadro 9-Panamá'!E7+'Cuadro 10-Panamá Oeste'!E7+'Cuadro 11-Veraguas'!E7)*100,"")</f>
        <v>10.900842533928378</v>
      </c>
      <c r="K7" s="137">
        <f>IFERROR(('Cuadro 9-Panamá'!E7)/('Cuadro 2-Bocas del Toro'!E7+'Cuadro 3-Coclé'!E7+'Cuadro 4-Colón'!E7+'Cuadro 5-Chiriquí'!E7+'Cuadro 6-Darién'!E7+'Cuadro 7-Herrera'!E7+'Cuadro 8-Los Santos'!E7+'Cuadro 9-Panamá'!E7+'Cuadro 10-Panamá Oeste'!E7+'Cuadro 11-Veraguas'!E7)*100,"")</f>
        <v>9.0561239019964237</v>
      </c>
      <c r="L7" s="138">
        <f>IFERROR(('Cuadro 10-Panamá Oeste'!E7)/('Cuadro 2-Bocas del Toro'!E7+'Cuadro 3-Coclé'!E7+'Cuadro 4-Colón'!E7+'Cuadro 5-Chiriquí'!E7+'Cuadro 6-Darién'!E7+'Cuadro 7-Herrera'!E7+'Cuadro 8-Los Santos'!E7+'Cuadro 9-Panamá'!E7+'Cuadro 10-Panamá Oeste'!E7+'Cuadro 11-Veraguas'!E7)*100,"")</f>
        <v>17.352509537067604</v>
      </c>
      <c r="M7" s="139">
        <f>IFERROR(('Cuadro 11-Veraguas'!E7)/('Cuadro 2-Bocas del Toro'!E7+'Cuadro 3-Coclé'!E7+'Cuadro 4-Colón'!E7+'Cuadro 5-Chiriquí'!E7+'Cuadro 6-Darién'!E7+'Cuadro 7-Herrera'!E7+'Cuadro 8-Los Santos'!E7+'Cuadro 9-Panamá'!E7+'Cuadro 10-Panamá Oeste'!E7+'Cuadro 11-Veraguas'!E7)*100,"")</f>
        <v>8.0254454172881804</v>
      </c>
      <c r="N7" s="58"/>
      <c r="O7" s="114"/>
    </row>
    <row r="8" spans="1:15" ht="32.25" customHeight="1">
      <c r="A8" s="56" t="s">
        <v>1</v>
      </c>
      <c r="B8" s="60" t="s">
        <v>31</v>
      </c>
      <c r="C8" s="14">
        <f>IFERROR(('Cuadro 2-Bocas del Toro'!E8+'Cuadro 3-Coclé'!E8+'Cuadro 4-Colón'!E8+'Cuadro 5-Chiriquí'!E8+'Cuadro 6-Darién'!E8+'Cuadro 7-Herrera'!E8+'Cuadro 8-Los Santos'!E8+'Cuadro 9-Panamá'!E8+'Cuadro 10-Panamá Oeste'!E8+'Cuadro 11-Veraguas'!E8)/('Cuadro 2-Bocas del Toro'!E8+'Cuadro 3-Coclé'!E8+'Cuadro 4-Colón'!E8+'Cuadro 5-Chiriquí'!E8+'Cuadro 6-Darién'!E8+'Cuadro 7-Herrera'!E8+'Cuadro 8-Los Santos'!E8+'Cuadro 9-Panamá'!E8+'Cuadro 10-Panamá Oeste'!E8+'Cuadro 11-Veraguas'!E8)*100,"")</f>
        <v>100</v>
      </c>
      <c r="D8" s="14">
        <f>IFERROR(('Cuadro 2-Bocas del Toro'!E8)/('Cuadro 2-Bocas del Toro'!E8+'Cuadro 3-Coclé'!E8+'Cuadro 4-Colón'!E8+'Cuadro 5-Chiriquí'!E8+'Cuadro 6-Darién'!E8+'Cuadro 7-Herrera'!E8+'Cuadro 8-Los Santos'!E8+'Cuadro 9-Panamá'!E8+'Cuadro 10-Panamá Oeste'!E8+'Cuadro 11-Veraguas'!E8)*100,"")</f>
        <v>0.20843427491768599</v>
      </c>
      <c r="E8" s="14">
        <f>IFERROR(('Cuadro 3-Coclé'!E8)/('Cuadro 2-Bocas del Toro'!E8+'Cuadro 3-Coclé'!E8+'Cuadro 4-Colón'!E8+'Cuadro 5-Chiriquí'!E8+'Cuadro 6-Darién'!E8+'Cuadro 7-Herrera'!E8+'Cuadro 8-Los Santos'!E8+'Cuadro 9-Panamá'!E8+'Cuadro 10-Panamá Oeste'!E8+'Cuadro 11-Veraguas'!E8)*100,"")</f>
        <v>1.2903898226831667</v>
      </c>
      <c r="F8" s="14">
        <f>IFERROR(('Cuadro 4-Colón'!E8)/('Cuadro 2-Bocas del Toro'!E8+'Cuadro 3-Coclé'!E8+'Cuadro 4-Colón'!E8+'Cuadro 5-Chiriquí'!E8+'Cuadro 6-Darién'!E8+'Cuadro 7-Herrera'!E8+'Cuadro 8-Los Santos'!E8+'Cuadro 9-Panamá'!E8+'Cuadro 10-Panamá Oeste'!E8+'Cuadro 11-Veraguas'!E8)*100,"")</f>
        <v>74.222430430307114</v>
      </c>
      <c r="G8" s="14">
        <f>IFERROR(('Cuadro 5-Chiriquí'!E8)/('Cuadro 2-Bocas del Toro'!E8+'Cuadro 3-Coclé'!E8+'Cuadro 4-Colón'!E8+'Cuadro 5-Chiriquí'!E8+'Cuadro 6-Darién'!E8+'Cuadro 7-Herrera'!E8+'Cuadro 8-Los Santos'!E8+'Cuadro 9-Panamá'!E8+'Cuadro 10-Panamá Oeste'!E8+'Cuadro 11-Veraguas'!E8)*100,"")</f>
        <v>2.6527558673834499</v>
      </c>
      <c r="H8" s="14">
        <f>IFERROR(('Cuadro 6-Darién'!E8)/('Cuadro 2-Bocas del Toro'!E8+'Cuadro 3-Coclé'!E8+'Cuadro 4-Colón'!E8+'Cuadro 5-Chiriquí'!E8+'Cuadro 6-Darién'!E8+'Cuadro 7-Herrera'!E8+'Cuadro 8-Los Santos'!E8+'Cuadro 9-Panamá'!E8+'Cuadro 10-Panamá Oeste'!E8+'Cuadro 11-Veraguas'!E8)*100,"")</f>
        <v>1.7680932896729975E-2</v>
      </c>
      <c r="I8" s="14">
        <f>IFERROR(('Cuadro 7-Herrera'!E8)/('Cuadro 2-Bocas del Toro'!E8+'Cuadro 3-Coclé'!E8+'Cuadro 4-Colón'!E8+'Cuadro 5-Chiriquí'!E8+'Cuadro 6-Darién'!E8+'Cuadro 7-Herrera'!E8+'Cuadro 8-Los Santos'!E8+'Cuadro 9-Panamá'!E8+'Cuadro 10-Panamá Oeste'!E8+'Cuadro 11-Veraguas'!E8)*100,"")</f>
        <v>0.37092219584159297</v>
      </c>
      <c r="J8" s="14">
        <f>IFERROR(('Cuadro 8-Los Santos'!E8)/('Cuadro 2-Bocas del Toro'!E8+'Cuadro 3-Coclé'!E8+'Cuadro 4-Colón'!E8+'Cuadro 5-Chiriquí'!E8+'Cuadro 6-Darién'!E8+'Cuadro 7-Herrera'!E8+'Cuadro 8-Los Santos'!E8+'Cuadro 9-Panamá'!E8+'Cuadro 10-Panamá Oeste'!E8+'Cuadro 11-Veraguas'!E8)*100,"")</f>
        <v>0.70168439324053722</v>
      </c>
      <c r="K8" s="14">
        <f>IFERROR(('Cuadro 9-Panamá'!E8)/('Cuadro 2-Bocas del Toro'!E8+'Cuadro 3-Coclé'!E8+'Cuadro 4-Colón'!E8+'Cuadro 5-Chiriquí'!E8+'Cuadro 6-Darién'!E8+'Cuadro 7-Herrera'!E8+'Cuadro 8-Los Santos'!E8+'Cuadro 9-Panamá'!E8+'Cuadro 10-Panamá Oeste'!E8+'Cuadro 11-Veraguas'!E8)*100,"")</f>
        <v>14.529778662049583</v>
      </c>
      <c r="L8" s="19">
        <f>IFERROR(('Cuadro 10-Panamá Oeste'!E8)/('Cuadro 2-Bocas del Toro'!E8+'Cuadro 3-Coclé'!E8+'Cuadro 4-Colón'!E8+'Cuadro 5-Chiriquí'!E8+'Cuadro 6-Darién'!E8+'Cuadro 7-Herrera'!E8+'Cuadro 8-Los Santos'!E8+'Cuadro 9-Panamá'!E8+'Cuadro 10-Panamá Oeste'!E8+'Cuadro 11-Veraguas'!E8)*100,"")</f>
        <v>5.0596683779146234</v>
      </c>
      <c r="M8" s="106">
        <f>IFERROR(('Cuadro 11-Veraguas'!E8)/('Cuadro 2-Bocas del Toro'!E8+'Cuadro 3-Coclé'!E8+'Cuadro 4-Colón'!E8+'Cuadro 5-Chiriquí'!E8+'Cuadro 6-Darién'!E8+'Cuadro 7-Herrera'!E8+'Cuadro 8-Los Santos'!E8+'Cuadro 9-Panamá'!E8+'Cuadro 10-Panamá Oeste'!E8+'Cuadro 11-Veraguas'!E8)*100,"")</f>
        <v>0.94625504276549322</v>
      </c>
      <c r="N8" s="58"/>
    </row>
    <row r="9" spans="1:15" ht="32.25" customHeight="1">
      <c r="A9" s="56" t="s">
        <v>2</v>
      </c>
      <c r="B9" s="60" t="s">
        <v>3</v>
      </c>
      <c r="C9" s="14">
        <f>IFERROR(('Cuadro 2-Bocas del Toro'!E9+'Cuadro 3-Coclé'!E9+'Cuadro 4-Colón'!E9+'Cuadro 5-Chiriquí'!E9+'Cuadro 6-Darién'!E9+'Cuadro 7-Herrera'!E9+'Cuadro 8-Los Santos'!E9+'Cuadro 9-Panamá'!E9+'Cuadro 10-Panamá Oeste'!E9+'Cuadro 11-Veraguas'!E9)/('Cuadro 2-Bocas del Toro'!E9+'Cuadro 3-Coclé'!E9+'Cuadro 4-Colón'!E9+'Cuadro 5-Chiriquí'!E9+'Cuadro 6-Darién'!E9+'Cuadro 7-Herrera'!E9+'Cuadro 8-Los Santos'!E9+'Cuadro 9-Panamá'!E9+'Cuadro 10-Panamá Oeste'!E9+'Cuadro 11-Veraguas'!E9)*100,"")</f>
        <v>100</v>
      </c>
      <c r="D9" s="14">
        <f>IFERROR(('Cuadro 2-Bocas del Toro'!E9)/('Cuadro 2-Bocas del Toro'!E9+'Cuadro 3-Coclé'!E9+'Cuadro 4-Colón'!E9+'Cuadro 5-Chiriquí'!E9+'Cuadro 6-Darién'!E9+'Cuadro 7-Herrera'!E9+'Cuadro 8-Los Santos'!E9+'Cuadro 9-Panamá'!E9+'Cuadro 10-Panamá Oeste'!E9+'Cuadro 11-Veraguas'!E9)*100,"")</f>
        <v>1.3740106427593317E-2</v>
      </c>
      <c r="E9" s="14">
        <f>IFERROR(('Cuadro 3-Coclé'!E9)/('Cuadro 2-Bocas del Toro'!E9+'Cuadro 3-Coclé'!E9+'Cuadro 4-Colón'!E9+'Cuadro 5-Chiriquí'!E9+'Cuadro 6-Darién'!E9+'Cuadro 7-Herrera'!E9+'Cuadro 8-Los Santos'!E9+'Cuadro 9-Panamá'!E9+'Cuadro 10-Panamá Oeste'!E9+'Cuadro 11-Veraguas'!E9)*100,"")</f>
        <v>7.8202068250863901</v>
      </c>
      <c r="F9" s="14">
        <f>IFERROR(('Cuadro 4-Colón'!E9)/('Cuadro 2-Bocas del Toro'!E9+'Cuadro 3-Coclé'!E9+'Cuadro 4-Colón'!E9+'Cuadro 5-Chiriquí'!E9+'Cuadro 6-Darién'!E9+'Cuadro 7-Herrera'!E9+'Cuadro 8-Los Santos'!E9+'Cuadro 9-Panamá'!E9+'Cuadro 10-Panamá Oeste'!E9+'Cuadro 11-Veraguas'!E9)*100,"")</f>
        <v>2.2459714036193392</v>
      </c>
      <c r="G9" s="14">
        <f>IFERROR(('Cuadro 5-Chiriquí'!E9)/('Cuadro 2-Bocas del Toro'!E9+'Cuadro 3-Coclé'!E9+'Cuadro 4-Colón'!E9+'Cuadro 5-Chiriquí'!E9+'Cuadro 6-Darién'!E9+'Cuadro 7-Herrera'!E9+'Cuadro 8-Los Santos'!E9+'Cuadro 9-Panamá'!E9+'Cuadro 10-Panamá Oeste'!E9+'Cuadro 11-Veraguas'!E9)*100,"")</f>
        <v>6.0725101841702465</v>
      </c>
      <c r="H9" s="14">
        <f>IFERROR(('Cuadro 6-Darién'!E9)/('Cuadro 2-Bocas del Toro'!E9+'Cuadro 3-Coclé'!E9+'Cuadro 4-Colón'!E9+'Cuadro 5-Chiriquí'!E9+'Cuadro 6-Darién'!E9+'Cuadro 7-Herrera'!E9+'Cuadro 8-Los Santos'!E9+'Cuadro 9-Panamá'!E9+'Cuadro 10-Panamá Oeste'!E9+'Cuadro 11-Veraguas'!E9)*100,"")</f>
        <v>1.3972829137183675E-2</v>
      </c>
      <c r="I9" s="14">
        <f>IFERROR(('Cuadro 7-Herrera'!E9)/('Cuadro 2-Bocas del Toro'!E9+'Cuadro 3-Coclé'!E9+'Cuadro 4-Colón'!E9+'Cuadro 5-Chiriquí'!E9+'Cuadro 6-Darién'!E9+'Cuadro 7-Herrera'!E9+'Cuadro 8-Los Santos'!E9+'Cuadro 9-Panamá'!E9+'Cuadro 10-Panamá Oeste'!E9+'Cuadro 11-Veraguas'!E9)*100,"")</f>
        <v>1.2095128394864783</v>
      </c>
      <c r="J9" s="14">
        <f>IFERROR(('Cuadro 8-Los Santos'!E9)/('Cuadro 2-Bocas del Toro'!E9+'Cuadro 3-Coclé'!E9+'Cuadro 4-Colón'!E9+'Cuadro 5-Chiriquí'!E9+'Cuadro 6-Darién'!E9+'Cuadro 7-Herrera'!E9+'Cuadro 8-Los Santos'!E9+'Cuadro 9-Panamá'!E9+'Cuadro 10-Panamá Oeste'!E9+'Cuadro 11-Veraguas'!E9)*100,"")</f>
        <v>0.36407379840851806</v>
      </c>
      <c r="K9" s="14">
        <f>IFERROR(('Cuadro 9-Panamá'!E9)/('Cuadro 2-Bocas del Toro'!E9+'Cuadro 3-Coclé'!E9+'Cuadro 4-Colón'!E9+'Cuadro 5-Chiriquí'!E9+'Cuadro 6-Darién'!E9+'Cuadro 7-Herrera'!E9+'Cuadro 8-Los Santos'!E9+'Cuadro 9-Panamá'!E9+'Cuadro 10-Panamá Oeste'!E9+'Cuadro 11-Veraguas'!E9)*100,"")</f>
        <v>61.994341363647898</v>
      </c>
      <c r="L9" s="19">
        <f>IFERROR(('Cuadro 10-Panamá Oeste'!E9)/('Cuadro 2-Bocas del Toro'!E9+'Cuadro 3-Coclé'!E9+'Cuadro 4-Colón'!E9+'Cuadro 5-Chiriquí'!E9+'Cuadro 6-Darién'!E9+'Cuadro 7-Herrera'!E9+'Cuadro 8-Los Santos'!E9+'Cuadro 9-Panamá'!E9+'Cuadro 10-Panamá Oeste'!E9+'Cuadro 11-Veraguas'!E9)*100,"")</f>
        <v>14.955580676406688</v>
      </c>
      <c r="M9" s="106">
        <f>IFERROR(('Cuadro 11-Veraguas'!E9)/('Cuadro 2-Bocas del Toro'!E9+'Cuadro 3-Coclé'!E9+'Cuadro 4-Colón'!E9+'Cuadro 5-Chiriquí'!E9+'Cuadro 6-Darién'!E9+'Cuadro 7-Herrera'!E9+'Cuadro 8-Los Santos'!E9+'Cuadro 9-Panamá'!E9+'Cuadro 10-Panamá Oeste'!E9+'Cuadro 11-Veraguas'!E9)*100,"")</f>
        <v>5.3100899736096583</v>
      </c>
      <c r="N9" s="47"/>
    </row>
    <row r="10" spans="1:15" ht="44.25" customHeight="1">
      <c r="A10" s="56" t="s">
        <v>68</v>
      </c>
      <c r="B10" s="60" t="s">
        <v>69</v>
      </c>
      <c r="C10" s="14">
        <f>IFERROR(('Cuadro 2-Bocas del Toro'!E10+'Cuadro 3-Coclé'!E10+'Cuadro 4-Colón'!E10+'Cuadro 5-Chiriquí'!E10+'Cuadro 6-Darién'!E10+'Cuadro 7-Herrera'!E10+'Cuadro 8-Los Santos'!E10+'Cuadro 9-Panamá'!E10+'Cuadro 10-Panamá Oeste'!E10+'Cuadro 11-Veraguas'!E10)/('Cuadro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100</v>
      </c>
      <c r="D10" s="14">
        <f>IFERROR(('Cuadro 2-Bocas del Toro'!E10)/('Cuadro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12.519030592094794</v>
      </c>
      <c r="E10" s="14">
        <f>IFERROR(('Cuadro 3-Coclé'!E10)/('Cuadro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6.1814757941210674</v>
      </c>
      <c r="F10" s="14">
        <f>IFERROR(('Cuadro 4-Colón'!E10)/('Cuadro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11.913277806792319</v>
      </c>
      <c r="G10" s="14">
        <f>IFERROR(('Cuadro 5-Chiriquí'!E10)/('Cuadro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27.271542877921089</v>
      </c>
      <c r="H10" s="14">
        <f>IFERROR(('Cuadro 6-Darién'!E10)/('Cuadro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0.15842778666590671</v>
      </c>
      <c r="I10" s="14">
        <f>IFERROR(('Cuadro 7-Herrera'!E10)/('Cuadro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1.4319842564691261</v>
      </c>
      <c r="J10" s="14">
        <f>IFERROR(('Cuadro 8-Los Santos'!E10)/('Cuadro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0.91778055137990444</v>
      </c>
      <c r="K10" s="14">
        <f>IFERROR(('Cuadro 9-Panamá'!E10)/('Cuadro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30.657797050012704</v>
      </c>
      <c r="L10" s="19">
        <f>IFERROR(('Cuadro 10-Panamá Oeste'!E10)/('Cuadro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7.303232456660945</v>
      </c>
      <c r="M10" s="106">
        <f>IFERROR(('Cuadro 11-Veraguas'!E10)/('Cuadro 2-Bocas del Toro'!E10+'Cuadro 3-Coclé'!E10+'Cuadro 4-Colón'!E10+'Cuadro 5-Chiriquí'!E10+'Cuadro 6-Darién'!E10+'Cuadro 7-Herrera'!E10+'Cuadro 8-Los Santos'!E10+'Cuadro 9-Panamá'!E10+'Cuadro 10-Panamá Oeste'!E10+'Cuadro 11-Veraguas'!E10)*100,"")</f>
        <v>1.6454508278821667</v>
      </c>
      <c r="N10" s="47"/>
    </row>
    <row r="11" spans="1:15" ht="32.25" customHeight="1">
      <c r="A11" s="56" t="s">
        <v>4</v>
      </c>
      <c r="B11" s="60" t="s">
        <v>94</v>
      </c>
      <c r="C11" s="14">
        <f>IFERROR(('Cuadro 2-Bocas del Toro'!E11+'Cuadro 3-Coclé'!E11+'Cuadro 4-Colón'!E11+'Cuadro 5-Chiriquí'!E11+'Cuadro 6-Darién'!E11+'Cuadro 7-Herrera'!E11+'Cuadro 8-Los Santos'!E11+'Cuadro 9-Panamá'!E11+'Cuadro 10-Panamá Oeste'!E11+'Cuadro 11-Veraguas'!E11)/('Cuadro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100</v>
      </c>
      <c r="D11" s="14">
        <f>IFERROR(('Cuadro 2-Bocas del Toro'!E11)/('Cuadro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0.53477253431320415</v>
      </c>
      <c r="E11" s="14">
        <f>IFERROR(('Cuadro 3-Coclé'!E11)/('Cuadro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3.2877818933024834</v>
      </c>
      <c r="F11" s="14">
        <f>IFERROR(('Cuadro 4-Colón'!E11)/('Cuadro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17.743411126783375</v>
      </c>
      <c r="G11" s="14">
        <f>IFERROR(('Cuadro 5-Chiriquí'!E11)/('Cuadro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6.8060830142984123</v>
      </c>
      <c r="H11" s="14">
        <f>IFERROR(('Cuadro 6-Darién'!E11)/('Cuadro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4.5363351579005083E-2</v>
      </c>
      <c r="I11" s="14">
        <f>IFERROR(('Cuadro 7-Herrera'!E11)/('Cuadro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0.9297429442747005</v>
      </c>
      <c r="J11" s="14">
        <f>IFERROR(('Cuadro 8-Los Santos'!E11)/('Cuadro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1.6723814607169589</v>
      </c>
      <c r="K11" s="14">
        <f>IFERROR(('Cuadro 9-Panamá'!E11)/('Cuadro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48.977676146978617</v>
      </c>
      <c r="L11" s="19">
        <f>IFERROR(('Cuadro 10-Panamá Oeste'!E11)/('Cuadro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17.575014036439534</v>
      </c>
      <c r="M11" s="106">
        <f>IFERROR(('Cuadro 11-Veraguas'!E11)/('Cuadro 2-Bocas del Toro'!E11+'Cuadro 3-Coclé'!E11+'Cuadro 4-Colón'!E11+'Cuadro 5-Chiriquí'!E11+'Cuadro 6-Darién'!E11+'Cuadro 7-Herrera'!E11+'Cuadro 8-Los Santos'!E11+'Cuadro 9-Panamá'!E11+'Cuadro 10-Panamá Oeste'!E11+'Cuadro 11-Veraguas'!E11)*100,"")</f>
        <v>2.4277734913137086</v>
      </c>
      <c r="N11" s="47"/>
    </row>
    <row r="12" spans="1:15" ht="41.25" customHeight="1">
      <c r="A12" s="56" t="s">
        <v>5</v>
      </c>
      <c r="B12" s="60" t="s">
        <v>54</v>
      </c>
      <c r="C12" s="14">
        <f>IFERROR(('Cuadro 2-Bocas del Toro'!E12+'Cuadro 3-Coclé'!E12+'Cuadro 4-Colón'!E12+'Cuadro 5-Chiriquí'!E12+'Cuadro 6-Darién'!E12+'Cuadro 7-Herrera'!E12+'Cuadro 8-Los Santos'!E12+'Cuadro 9-Panamá'!E12+'Cuadro 10-Panamá Oeste'!E12+'Cuadro 11-Veraguas'!E12)/('Cuadro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100</v>
      </c>
      <c r="D12" s="14">
        <f>IFERROR(('Cuadro 2-Bocas del Toro'!E12)/('Cuadro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0.1630479622126482</v>
      </c>
      <c r="E12" s="14">
        <f>IFERROR(('Cuadro 3-Coclé'!E12)/('Cuadro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0.87092303731303788</v>
      </c>
      <c r="F12" s="14">
        <f>IFERROR(('Cuadro 4-Colón'!E12)/('Cuadro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34.688989435707079</v>
      </c>
      <c r="G12" s="14">
        <f>IFERROR(('Cuadro 5-Chiriquí'!E12)/('Cuadro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2.951046339283856</v>
      </c>
      <c r="H12" s="14">
        <f>IFERROR(('Cuadro 6-Darién'!E12)/('Cuadro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1.0688928298179209E-2</v>
      </c>
      <c r="I12" s="14">
        <f>IFERROR(('Cuadro 7-Herrera'!E12)/('Cuadro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0.12058039082252264</v>
      </c>
      <c r="J12" s="14">
        <f>IFERROR(('Cuadro 8-Los Santos'!E12)/('Cuadro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0.14790004150751118</v>
      </c>
      <c r="K12" s="14">
        <f>IFERROR(('Cuadro 9-Panamá'!E12)/('Cuadro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58.719142473948814</v>
      </c>
      <c r="L12" s="19">
        <f>IFERROR(('Cuadro 10-Panamá Oeste'!E12)/('Cuadro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0.8597827123504358</v>
      </c>
      <c r="M12" s="106">
        <f>IFERROR(('Cuadro 11-Veraguas'!E12)/('Cuadro 2-Bocas del Toro'!E12+'Cuadro 3-Coclé'!E12+'Cuadro 4-Colón'!E12+'Cuadro 5-Chiriquí'!E12+'Cuadro 6-Darién'!E12+'Cuadro 7-Herrera'!E12+'Cuadro 8-Los Santos'!E12+'Cuadro 9-Panamá'!E12+'Cuadro 10-Panamá Oeste'!E12+'Cuadro 11-Veraguas'!E12)*100,"")</f>
        <v>1.4678986785559067</v>
      </c>
      <c r="N12" s="47"/>
    </row>
    <row r="13" spans="1:15" ht="32.25" customHeight="1">
      <c r="A13" s="56" t="s">
        <v>6</v>
      </c>
      <c r="B13" s="60" t="s">
        <v>55</v>
      </c>
      <c r="C13" s="14">
        <f>IFERROR(('Cuadro 2-Bocas del Toro'!E13+'Cuadro 3-Coclé'!E13+'Cuadro 4-Colón'!E13+'Cuadro 5-Chiriquí'!E13+'Cuadro 6-Darién'!E13+'Cuadro 7-Herrera'!E13+'Cuadro 8-Los Santos'!E13+'Cuadro 9-Panamá'!E13+'Cuadro 10-Panamá Oeste'!E13+'Cuadro 11-Veraguas'!E13)/('Cuadro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100</v>
      </c>
      <c r="D13" s="14">
        <f>IFERROR(('Cuadro 2-Bocas del Toro'!E13)/('Cuadro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1.0406982191412484</v>
      </c>
      <c r="E13" s="14">
        <f>IFERROR(('Cuadro 3-Coclé'!E13)/('Cuadro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0.64367129415713065</v>
      </c>
      <c r="F13" s="14">
        <f>IFERROR(('Cuadro 4-Colón'!E13)/('Cuadro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29.798332581471826</v>
      </c>
      <c r="G13" s="14">
        <f>IFERROR(('Cuadro 5-Chiriquí'!E13)/('Cuadro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2.7164346926872187</v>
      </c>
      <c r="H13" s="14">
        <f>IFERROR(('Cuadro 6-Darién'!E13)/('Cuadro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1.9734063716891202E-2</v>
      </c>
      <c r="I13" s="14">
        <f>IFERROR(('Cuadro 7-Herrera'!E13)/('Cuadro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0.4850655773201305</v>
      </c>
      <c r="J13" s="14">
        <f>IFERROR(('Cuadro 8-Los Santos'!E13)/('Cuadro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0.36872280983981348</v>
      </c>
      <c r="K13" s="14">
        <f>IFERROR(('Cuadro 9-Panamá'!E13)/('Cuadro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46.792221757670418</v>
      </c>
      <c r="L13" s="19">
        <f>IFERROR(('Cuadro 10-Panamá Oeste'!E13)/('Cuadro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17.074952805654522</v>
      </c>
      <c r="M13" s="106">
        <f>IFERROR(('Cuadro 11-Veraguas'!E13)/('Cuadro 2-Bocas del Toro'!E13+'Cuadro 3-Coclé'!E13+'Cuadro 4-Colón'!E13+'Cuadro 5-Chiriquí'!E13+'Cuadro 6-Darién'!E13+'Cuadro 7-Herrera'!E13+'Cuadro 8-Los Santos'!E13+'Cuadro 9-Panamá'!E13+'Cuadro 10-Panamá Oeste'!E13+'Cuadro 11-Veraguas'!E13)*100,"")</f>
        <v>1.0601661983407857</v>
      </c>
      <c r="N13" s="47"/>
    </row>
    <row r="14" spans="1:15" ht="32.25" customHeight="1">
      <c r="A14" s="56" t="s">
        <v>7</v>
      </c>
      <c r="B14" s="60" t="s">
        <v>32</v>
      </c>
      <c r="C14" s="14">
        <f>IFERROR(('Cuadro 2-Bocas del Toro'!E14+'Cuadro 3-Coclé'!E14+'Cuadro 4-Colón'!E14+'Cuadro 5-Chiriquí'!E14+'Cuadro 6-Darién'!E14+'Cuadro 7-Herrera'!E14+'Cuadro 8-Los Santos'!E14+'Cuadro 9-Panamá'!E14+'Cuadro 10-Panamá Oeste'!E14+'Cuadro 11-Veraguas'!E14)/('Cuadro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100</v>
      </c>
      <c r="D14" s="14">
        <f>IFERROR(('Cuadro 2-Bocas del Toro'!E14)/('Cuadro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0.54286282085212501</v>
      </c>
      <c r="E14" s="14">
        <f>IFERROR(('Cuadro 3-Coclé'!E14)/('Cuadro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5.0006958638466337</v>
      </c>
      <c r="F14" s="14">
        <f>IFERROR(('Cuadro 4-Colón'!E14)/('Cuadro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2.6824099334993541</v>
      </c>
      <c r="G14" s="14">
        <f>IFERROR(('Cuadro 5-Chiriquí'!E14)/('Cuadro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0.85988326606991816</v>
      </c>
      <c r="H14" s="14">
        <f>IFERROR(('Cuadro 6-Darién'!E14)/('Cuadro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4.9943379518395514E-3</v>
      </c>
      <c r="I14" s="14">
        <f>IFERROR(('Cuadro 7-Herrera'!E14)/('Cuadro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0.72924819075586822</v>
      </c>
      <c r="J14" s="14">
        <f>IFERROR(('Cuadro 8-Los Santos'!E14)/('Cuadro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0.4254947504585655</v>
      </c>
      <c r="K14" s="14">
        <f>IFERROR(('Cuadro 9-Panamá'!E14)/('Cuadro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82.840993676759268</v>
      </c>
      <c r="L14" s="19">
        <f>IFERROR(('Cuadro 10-Panamá Oeste'!E14)/('Cuadro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3.2057434513791021</v>
      </c>
      <c r="M14" s="106">
        <f>IFERROR(('Cuadro 11-Veraguas'!E14)/('Cuadro 2-Bocas del Toro'!E14+'Cuadro 3-Coclé'!E14+'Cuadro 4-Colón'!E14+'Cuadro 5-Chiriquí'!E14+'Cuadro 6-Darién'!E14+'Cuadro 7-Herrera'!E14+'Cuadro 8-Los Santos'!E14+'Cuadro 9-Panamá'!E14+'Cuadro 10-Panamá Oeste'!E14+'Cuadro 11-Veraguas'!E14)*100,"")</f>
        <v>3.7076737084273068</v>
      </c>
      <c r="N14" s="47"/>
    </row>
    <row r="15" spans="1:15" ht="32.25" customHeight="1">
      <c r="A15" s="56" t="s">
        <v>8</v>
      </c>
      <c r="B15" s="60" t="s">
        <v>56</v>
      </c>
      <c r="C15" s="14">
        <f>IFERROR(('Cuadro 2-Bocas del Toro'!E15+'Cuadro 3-Coclé'!E15+'Cuadro 4-Colón'!E15+'Cuadro 5-Chiriquí'!E15+'Cuadro 6-Darién'!E15+'Cuadro 7-Herrera'!E15+'Cuadro 8-Los Santos'!E15+'Cuadro 9-Panamá'!E15+'Cuadro 10-Panamá Oeste'!E15+'Cuadro 11-Veraguas'!E15)/('Cuadro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100</v>
      </c>
      <c r="D15" s="14">
        <f>IFERROR(('Cuadro 2-Bocas del Toro'!E15)/('Cuadro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4.1203265162195475</v>
      </c>
      <c r="E15" s="14">
        <f>IFERROR(('Cuadro 3-Coclé'!E15)/('Cuadro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6.2397802968330041</v>
      </c>
      <c r="F15" s="14">
        <f>IFERROR(('Cuadro 4-Colón'!E15)/('Cuadro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8.0795839663433462</v>
      </c>
      <c r="G15" s="14">
        <f>IFERROR(('Cuadro 5-Chiriquí'!E15)/('Cuadro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16.112212223910252</v>
      </c>
      <c r="H15" s="14">
        <f>IFERROR(('Cuadro 6-Darién'!E15)/('Cuadro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1.65558022671497</v>
      </c>
      <c r="I15" s="14">
        <f>IFERROR(('Cuadro 7-Herrera'!E15)/('Cuadro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2.7809278952904055</v>
      </c>
      <c r="J15" s="14">
        <f>IFERROR(('Cuadro 8-Los Santos'!E15)/('Cuadro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2.2334229285964713</v>
      </c>
      <c r="K15" s="14">
        <f>IFERROR(('Cuadro 9-Panamá'!E15)/('Cuadro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38.799598691212964</v>
      </c>
      <c r="L15" s="19">
        <f>IFERROR(('Cuadro 10-Panamá Oeste'!E15)/('Cuadro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14.174547154376532</v>
      </c>
      <c r="M15" s="106">
        <f>IFERROR(('Cuadro 11-Veraguas'!E15)/('Cuadro 2-Bocas del Toro'!E15+'Cuadro 3-Coclé'!E15+'Cuadro 4-Colón'!E15+'Cuadro 5-Chiriquí'!E15+'Cuadro 6-Darién'!E15+'Cuadro 7-Herrera'!E15+'Cuadro 8-Los Santos'!E15+'Cuadro 9-Panamá'!E15+'Cuadro 10-Panamá Oeste'!E15+'Cuadro 11-Veraguas'!E15)*100,"")</f>
        <v>5.8040201005025125</v>
      </c>
      <c r="N15" s="47"/>
    </row>
    <row r="16" spans="1:15" ht="32.25" customHeight="1">
      <c r="A16" s="56" t="s">
        <v>9</v>
      </c>
      <c r="B16" s="60" t="s">
        <v>57</v>
      </c>
      <c r="C16" s="14">
        <f>IFERROR(('Cuadro 2-Bocas del Toro'!E16+'Cuadro 3-Coclé'!E16+'Cuadro 4-Colón'!E16+'Cuadro 5-Chiriquí'!E16+'Cuadro 6-Darién'!E16+'Cuadro 7-Herrera'!E16+'Cuadro 8-Los Santos'!E16+'Cuadro 9-Panamá'!E16+'Cuadro 10-Panamá Oeste'!E16+'Cuadro 11-Veraguas'!E16)/('Cuadro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100</v>
      </c>
      <c r="D16" s="14">
        <f>IFERROR(('Cuadro 2-Bocas del Toro'!E16)/('Cuadro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0.34880985890598543</v>
      </c>
      <c r="E16" s="14">
        <f>IFERROR(('Cuadro 3-Coclé'!E16)/('Cuadro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1.2073981791073036</v>
      </c>
      <c r="F16" s="14">
        <f>IFERROR(('Cuadro 4-Colón'!E16)/('Cuadro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3.4947095895782829</v>
      </c>
      <c r="G16" s="14">
        <f>IFERROR(('Cuadro 5-Chiriquí'!E16)/('Cuadro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3.9959391449891406</v>
      </c>
      <c r="H16" s="14">
        <f>IFERROR(('Cuadro 6-Darién'!E16)/('Cuadro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0.11745586674081832</v>
      </c>
      <c r="I16" s="14">
        <f>IFERROR(('Cuadro 7-Herrera'!E16)/('Cuadro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1.1910289572059722</v>
      </c>
      <c r="J16" s="14">
        <f>IFERROR(('Cuadro 8-Los Santos'!E16)/('Cuadro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0.68500507472624095</v>
      </c>
      <c r="K16" s="14">
        <f>IFERROR(('Cuadro 9-Panamá'!E16)/('Cuadro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85.657908020814816</v>
      </c>
      <c r="L16" s="19">
        <f>IFERROR(('Cuadro 10-Panamá Oeste'!E16)/('Cuadro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1.5372770272817562</v>
      </c>
      <c r="M16" s="106">
        <f>IFERROR(('Cuadro 11-Veraguas'!E16)/('Cuadro 2-Bocas del Toro'!E16+'Cuadro 3-Coclé'!E16+'Cuadro 4-Colón'!E16+'Cuadro 5-Chiriquí'!E16+'Cuadro 6-Darién'!E16+'Cuadro 7-Herrera'!E16+'Cuadro 8-Los Santos'!E16+'Cuadro 9-Panamá'!E16+'Cuadro 10-Panamá Oeste'!E16+'Cuadro 11-Veraguas'!E16)*100,"")</f>
        <v>1.7644682806496732</v>
      </c>
      <c r="N16" s="47"/>
    </row>
    <row r="17" spans="1:14" ht="32.25" customHeight="1">
      <c r="A17" s="56" t="s">
        <v>70</v>
      </c>
      <c r="B17" s="60" t="s">
        <v>95</v>
      </c>
      <c r="C17" s="14">
        <f>IFERROR(('Cuadro 2-Bocas del Toro'!E17+'Cuadro 3-Coclé'!E17+'Cuadro 4-Colón'!E17+'Cuadro 5-Chiriquí'!E17+'Cuadro 6-Darién'!E17+'Cuadro 7-Herrera'!E17+'Cuadro 8-Los Santos'!E17+'Cuadro 9-Panamá'!E17+'Cuadro 10-Panamá Oeste'!E17+'Cuadro 11-Veraguas'!E17)/('Cuadro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100</v>
      </c>
      <c r="D17" s="14">
        <f>IFERROR(('Cuadro 2-Bocas del Toro'!E17)/('Cuadro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0.91925847865838328</v>
      </c>
      <c r="E17" s="14">
        <f>IFERROR(('Cuadro 3-Coclé'!E17)/('Cuadro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1.6521442981531262</v>
      </c>
      <c r="F17" s="14">
        <f>IFERROR(('Cuadro 4-Colón'!E17)/('Cuadro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2.5990890365399748</v>
      </c>
      <c r="G17" s="14">
        <f>IFERROR(('Cuadro 5-Chiriquí'!E17)/('Cuadro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3.5095774610119008</v>
      </c>
      <c r="H17" s="14">
        <f>IFERROR(('Cuadro 6-Darién'!E17)/('Cuadro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0.15873227859418984</v>
      </c>
      <c r="I17" s="14">
        <f>IFERROR(('Cuadro 7-Herrera'!E17)/('Cuadro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0.87505262224764124</v>
      </c>
      <c r="J17" s="14">
        <f>IFERROR(('Cuadro 8-Los Santos'!E17)/('Cuadro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0.71515937947947195</v>
      </c>
      <c r="K17" s="14">
        <f>IFERROR(('Cuadro 9-Panamá'!E17)/('Cuadro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77.114263748190055</v>
      </c>
      <c r="L17" s="19">
        <f>IFERROR(('Cuadro 10-Panamá Oeste'!E17)/('Cuadro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11.097478635095925</v>
      </c>
      <c r="M17" s="106">
        <f>IFERROR(('Cuadro 11-Veraguas'!E17)/('Cuadro 2-Bocas del Toro'!E17+'Cuadro 3-Coclé'!E17+'Cuadro 4-Colón'!E17+'Cuadro 5-Chiriquí'!E17+'Cuadro 6-Darién'!E17+'Cuadro 7-Herrera'!E17+'Cuadro 8-Los Santos'!E17+'Cuadro 9-Panamá'!E17+'Cuadro 10-Panamá Oeste'!E17+'Cuadro 11-Veraguas'!E17)*100,"")</f>
        <v>1.3592440620293338</v>
      </c>
      <c r="N17" s="47"/>
    </row>
    <row r="18" spans="1:14" ht="32.25" customHeight="1">
      <c r="A18" s="56" t="s">
        <v>10</v>
      </c>
      <c r="B18" s="60" t="s">
        <v>58</v>
      </c>
      <c r="C18" s="14">
        <f>IFERROR(('Cuadro 2-Bocas del Toro'!E18+'Cuadro 3-Coclé'!E18+'Cuadro 4-Colón'!E18+'Cuadro 5-Chiriquí'!E18+'Cuadro 6-Darién'!E18+'Cuadro 7-Herrera'!E18+'Cuadro 8-Los Santos'!E18+'Cuadro 9-Panamá'!E18+'Cuadro 10-Panamá Oeste'!E18+'Cuadro 11-Veraguas'!E18)/('Cuadro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100</v>
      </c>
      <c r="D18" s="14">
        <f>IFERROR(('Cuadro 2-Bocas del Toro'!E18)/('Cuadro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7.5231111198281256E-2</v>
      </c>
      <c r="E18" s="14">
        <f>IFERROR(('Cuadro 3-Coclé'!E18)/('Cuadro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0.44995585196813065</v>
      </c>
      <c r="F18" s="14">
        <f>IFERROR(('Cuadro 4-Colón'!E18)/('Cuadro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1.5801830734634772</v>
      </c>
      <c r="G18" s="14">
        <f>IFERROR(('Cuadro 5-Chiriquí'!E18)/('Cuadro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3.4716615371908595</v>
      </c>
      <c r="H18" s="14">
        <f>IFERROR(('Cuadro 6-Darién'!E18)/('Cuadro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0.10475191343121276</v>
      </c>
      <c r="I18" s="14">
        <f>IFERROR(('Cuadro 7-Herrera'!E18)/('Cuadro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0.58965854465936329</v>
      </c>
      <c r="J18" s="14">
        <f>IFERROR(('Cuadro 8-Los Santos'!E18)/('Cuadro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0.14783685549390743</v>
      </c>
      <c r="K18" s="14">
        <f>IFERROR(('Cuadro 9-Panamá'!E18)/('Cuadro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86.67089257665107</v>
      </c>
      <c r="L18" s="19">
        <f>IFERROR(('Cuadro 10-Panamá Oeste'!E18)/('Cuadro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6.4143270633397478</v>
      </c>
      <c r="M18" s="106">
        <f>IFERROR(('Cuadro 11-Veraguas'!E18)/('Cuadro 2-Bocas del Toro'!E18+'Cuadro 3-Coclé'!E18+'Cuadro 4-Colón'!E18+'Cuadro 5-Chiriquí'!E18+'Cuadro 6-Darién'!E18+'Cuadro 7-Herrera'!E18+'Cuadro 8-Los Santos'!E18+'Cuadro 9-Panamá'!E18+'Cuadro 10-Panamá Oeste'!E18+'Cuadro 11-Veraguas'!E18)*100,"")</f>
        <v>0.49550147260394695</v>
      </c>
      <c r="N18" s="47"/>
    </row>
    <row r="19" spans="1:14" ht="32.25" customHeight="1">
      <c r="A19" s="56" t="s">
        <v>59</v>
      </c>
      <c r="B19" s="60" t="s">
        <v>60</v>
      </c>
      <c r="C19" s="14">
        <f>IFERROR(('Cuadro 2-Bocas del Toro'!E19+'Cuadro 3-Coclé'!E19+'Cuadro 4-Colón'!E19+'Cuadro 5-Chiriquí'!E19+'Cuadro 6-Darién'!E19+'Cuadro 7-Herrera'!E19+'Cuadro 8-Los Santos'!E19+'Cuadro 9-Panamá'!E19+'Cuadro 10-Panamá Oeste'!E19+'Cuadro 11-Veraguas'!E19)/('Cuadro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100</v>
      </c>
      <c r="D19" s="14">
        <f>IFERROR(('Cuadro 2-Bocas del Toro'!E19)/('Cuadro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7.8532013092468701E-3</v>
      </c>
      <c r="E19" s="14">
        <f>IFERROR(('Cuadro 3-Coclé'!E19)/('Cuadro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6.8729141748570657E-2</v>
      </c>
      <c r="F19" s="14">
        <f>IFERROR(('Cuadro 4-Colón'!E19)/('Cuadro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0.29792633100994542</v>
      </c>
      <c r="G19" s="14">
        <f>IFERROR(('Cuadro 5-Chiriquí'!E19)/('Cuadro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2.6102791009039015</v>
      </c>
      <c r="H19" s="14">
        <f>IFERROR(('Cuadro 6-Darién'!E19)/('Cuadro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7.4398749245496686E-3</v>
      </c>
      <c r="I19" s="14">
        <f>IFERROR(('Cuadro 7-Herrera'!E19)/('Cuadro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0.4978005648370582</v>
      </c>
      <c r="J19" s="14">
        <f>IFERROR(('Cuadro 8-Los Santos'!E19)/('Cuadro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8.266527693944075E-3</v>
      </c>
      <c r="K19" s="14">
        <f>IFERROR(('Cuadro 9-Panamá'!E19)/('Cuadro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95.57688325201444</v>
      </c>
      <c r="L19" s="19">
        <f>IFERROR(('Cuadro 10-Panamá Oeste'!E19)/('Cuadro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0.77457518772666412</v>
      </c>
      <c r="M19" s="106">
        <f>IFERROR(('Cuadro 11-Veraguas'!E19)/('Cuadro 2-Bocas del Toro'!E19+'Cuadro 3-Coclé'!E19+'Cuadro 4-Colón'!E19+'Cuadro 5-Chiriquí'!E19+'Cuadro 6-Darién'!E19+'Cuadro 7-Herrera'!E19+'Cuadro 8-Los Santos'!E19+'Cuadro 9-Panamá'!E19+'Cuadro 10-Panamá Oeste'!E19+'Cuadro 11-Veraguas'!E19)*100,"")</f>
        <v>0.1502468178316837</v>
      </c>
      <c r="N19" s="47"/>
    </row>
    <row r="20" spans="1:14" ht="32.25" customHeight="1">
      <c r="A20" s="56" t="s">
        <v>66</v>
      </c>
      <c r="B20" s="60" t="s">
        <v>67</v>
      </c>
      <c r="C20" s="14">
        <f>IFERROR(('Cuadro 2-Bocas del Toro'!E20+'Cuadro 3-Coclé'!E20+'Cuadro 4-Colón'!E20+'Cuadro 5-Chiriquí'!E20+'Cuadro 6-Darién'!E20+'Cuadro 7-Herrera'!E20+'Cuadro 8-Los Santos'!E20+'Cuadro 9-Panamá'!E20+'Cuadro 10-Panamá Oeste'!E20+'Cuadro 11-Veraguas'!E20)/('Cuadro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100</v>
      </c>
      <c r="D20" s="14">
        <f>IFERROR(('Cuadro 2-Bocas del Toro'!E20)/('Cuadro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0.18729194622387227</v>
      </c>
      <c r="E20" s="14">
        <f>IFERROR(('Cuadro 3-Coclé'!E20)/('Cuadro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0.21347325507891035</v>
      </c>
      <c r="F20" s="14">
        <f>IFERROR(('Cuadro 4-Colón'!E20)/('Cuadro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7.3971899734615318</v>
      </c>
      <c r="G20" s="14">
        <f>IFERROR(('Cuadro 5-Chiriquí'!E20)/('Cuadro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1.1328035414111959</v>
      </c>
      <c r="H20" s="14">
        <f>IFERROR(('Cuadro 6-Darién'!E20)/('Cuadro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2.267511335899872E-3</v>
      </c>
      <c r="I20" s="14">
        <f>IFERROR(('Cuadro 7-Herrera'!E20)/('Cuadro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8.9759723935133623E-2</v>
      </c>
      <c r="J20" s="14">
        <f>IFERROR(('Cuadro 8-Los Santos'!E20)/('Cuadro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0.12004115209824785</v>
      </c>
      <c r="K20" s="14">
        <f>IFERROR(('Cuadro 9-Panamá'!E20)/('Cuadro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89.54363253976129</v>
      </c>
      <c r="L20" s="19">
        <f>IFERROR(('Cuadro 10-Panamá Oeste'!E20)/('Cuadro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0.32530956755943169</v>
      </c>
      <c r="M20" s="106">
        <f>IFERROR(('Cuadro 11-Veraguas'!E20)/('Cuadro 2-Bocas del Toro'!E20+'Cuadro 3-Coclé'!E20+'Cuadro 4-Colón'!E20+'Cuadro 5-Chiriquí'!E20+'Cuadro 6-Darién'!E20+'Cuadro 7-Herrera'!E20+'Cuadro 8-Los Santos'!E20+'Cuadro 9-Panamá'!E20+'Cuadro 10-Panamá Oeste'!E20+'Cuadro 11-Veraguas'!E20)*100,"")</f>
        <v>0.98823078913450135</v>
      </c>
      <c r="N20" s="47"/>
    </row>
    <row r="21" spans="1:14" ht="32.25" customHeight="1">
      <c r="A21" s="66" t="s">
        <v>61</v>
      </c>
      <c r="B21" s="67" t="s">
        <v>62</v>
      </c>
      <c r="C21" s="145">
        <f>IFERROR(('Cuadro 2-Bocas del Toro'!E21+'Cuadro 3-Coclé'!E21+'Cuadro 4-Colón'!E21+'Cuadro 5-Chiriquí'!E21+'Cuadro 6-Darién'!E21+'Cuadro 7-Herrera'!E21+'Cuadro 8-Los Santos'!E21+'Cuadro 9-Panamá'!E21+'Cuadro 10-Panamá Oeste'!E21+'Cuadro 11-Veraguas'!E21)/('Cuadro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100</v>
      </c>
      <c r="D21" s="145">
        <f>IFERROR(('Cuadro 2-Bocas del Toro'!E21)/('Cuadro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2.5513252028966504</v>
      </c>
      <c r="E21" s="145">
        <f>IFERROR(('Cuadro 3-Coclé'!E21)/('Cuadro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7.0594920662674312</v>
      </c>
      <c r="F21" s="145">
        <f>IFERROR(('Cuadro 4-Colón'!E21)/('Cuadro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5.2906121140592468</v>
      </c>
      <c r="G21" s="145">
        <f>IFERROR(('Cuadro 5-Chiriquí'!E21)/('Cuadro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12.87464848246419</v>
      </c>
      <c r="H21" s="145">
        <f>IFERROR(('Cuadro 6-Darién'!E21)/('Cuadro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0.49540295201876711</v>
      </c>
      <c r="I21" s="145">
        <f>IFERROR(('Cuadro 7-Herrera'!E21)/('Cuadro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3.2463464032288605</v>
      </c>
      <c r="J21" s="145">
        <f>IFERROR(('Cuadro 8-Los Santos'!E21)/('Cuadro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2.9782459821363529</v>
      </c>
      <c r="K21" s="145">
        <f>IFERROR(('Cuadro 9-Panamá'!E21)/('Cuadro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38.223251883259749</v>
      </c>
      <c r="L21" s="132">
        <f>IFERROR(('Cuadro 10-Panamá Oeste'!E21)/('Cuadro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20.509682213576951</v>
      </c>
      <c r="M21" s="117">
        <f>IFERROR(('Cuadro 11-Veraguas'!E21)/('Cuadro 2-Bocas del Toro'!E21+'Cuadro 3-Coclé'!E21+'Cuadro 4-Colón'!E21+'Cuadro 5-Chiriquí'!E21+'Cuadro 6-Darién'!E21+'Cuadro 7-Herrera'!E21+'Cuadro 8-Los Santos'!E21+'Cuadro 9-Panamá'!E21+'Cuadro 10-Panamá Oeste'!E21+'Cuadro 11-Veraguas'!E21)*100,"")</f>
        <v>6.770992700091794</v>
      </c>
      <c r="N21" s="47"/>
    </row>
    <row r="22" spans="1:14" ht="32.25" customHeight="1">
      <c r="A22" s="25"/>
      <c r="B22" s="22" t="s">
        <v>93</v>
      </c>
      <c r="C22" s="145">
        <f>IFERROR(('Cuadro 2-Bocas del Toro'!E22+'Cuadro 3-Coclé'!E22+'Cuadro 4-Colón'!E22+'Cuadro 5-Chiriquí'!E22+'Cuadro 6-Darién'!E22+'Cuadro 7-Herrera'!E22+'Cuadro 8-Los Santos'!E22+'Cuadro 9-Panamá'!E22+'Cuadro 10-Panamá Oeste'!E22+'Cuadro 11-Veraguas'!E22)/('Cuadro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100</v>
      </c>
      <c r="D22" s="145">
        <f>IFERROR(('Cuadro 2-Bocas del Toro'!E22)/('Cuadro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3.8224077987018998</v>
      </c>
      <c r="E22" s="145">
        <f>IFERROR(('Cuadro 3-Coclé'!E22)/('Cuadro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5.9106482923503005</v>
      </c>
      <c r="F22" s="145">
        <f>IFERROR(('Cuadro 4-Colón'!E22)/('Cuadro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6.0136881361068797</v>
      </c>
      <c r="G22" s="145">
        <f>IFERROR(('Cuadro 5-Chiriquí'!E22)/('Cuadro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10.737559875072604</v>
      </c>
      <c r="H22" s="145">
        <f>IFERROR(('Cuadro 6-Darién'!E22)/('Cuadro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1.3088754009209604</v>
      </c>
      <c r="I22" s="145">
        <f>IFERROR(('Cuadro 7-Herrera'!E22)/('Cuadro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3.6651541809426798</v>
      </c>
      <c r="J22" s="145">
        <f>IFERROR(('Cuadro 8-Los Santos'!E22)/('Cuadro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3.204337101920212</v>
      </c>
      <c r="K22" s="145">
        <f>IFERROR(('Cuadro 9-Panamá'!E22)/('Cuadro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41.450302637449596</v>
      </c>
      <c r="L22" s="132">
        <f>IFERROR(('Cuadro 10-Panamá Oeste'!E22)/('Cuadro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16.729326789517547</v>
      </c>
      <c r="M22" s="117">
        <f>IFERROR(('Cuadro 11-Veraguas'!E22)/('Cuadro 2-Bocas del Toro'!E22+'Cuadro 3-Coclé'!E22+'Cuadro 4-Colón'!E22+'Cuadro 5-Chiriquí'!E22+'Cuadro 6-Darién'!E22+'Cuadro 7-Herrera'!E22+'Cuadro 8-Los Santos'!E22+'Cuadro 9-Panamá'!E22+'Cuadro 10-Panamá Oeste'!E22+'Cuadro 11-Veraguas'!E22)*100,"")</f>
        <v>7.1576997870173189</v>
      </c>
      <c r="N22" s="47"/>
    </row>
    <row r="23" spans="1:14" s="36" customFormat="1" ht="32.25" customHeight="1">
      <c r="A23" s="34"/>
      <c r="B23" s="27" t="s">
        <v>33</v>
      </c>
      <c r="C23" s="146">
        <f>IFERROR(('Cuadro 2-Bocas del Toro'!E23+'Cuadro 3-Coclé'!E23+'Cuadro 4-Colón'!E23+'Cuadro 5-Chiriquí'!E23+'Cuadro 6-Darién'!E23+'Cuadro 7-Herrera'!E23+'Cuadro 8-Los Santos'!E23+'Cuadro 9-Panamá'!E23+'Cuadro 10-Panamá Oeste'!E23+'Cuadro 11-Veraguas'!E23)/('Cuadro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100</v>
      </c>
      <c r="D23" s="146">
        <f>IFERROR(('Cuadro 2-Bocas del Toro'!E23)/('Cuadro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1.6468741667545628</v>
      </c>
      <c r="E23" s="146">
        <f>IFERROR(('Cuadro 3-Coclé'!E23)/('Cuadro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2.9643464280625018</v>
      </c>
      <c r="F23" s="146">
        <f>IFERROR(('Cuadro 4-Colón'!E23)/('Cuadro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16.136572983145811</v>
      </c>
      <c r="G23" s="146">
        <f>IFERROR(('Cuadro 5-Chiriquí'!E23)/('Cuadro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6.2354683477910751</v>
      </c>
      <c r="H23" s="146">
        <f>IFERROR(('Cuadro 6-Darién'!E23)/('Cuadro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0.4393624628410383</v>
      </c>
      <c r="I23" s="146">
        <f>IFERROR(('Cuadro 7-Herrera'!E23)/('Cuadro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1.258191197974623</v>
      </c>
      <c r="J23" s="146">
        <f>IFERROR(('Cuadro 8-Los Santos'!E23)/('Cuadro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1.3252384465841165</v>
      </c>
      <c r="K23" s="146">
        <f>IFERROR(('Cuadro 9-Panamá'!E23)/('Cuadro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56.68877865946326</v>
      </c>
      <c r="L23" s="144">
        <f>IFERROR(('Cuadro 10-Panamá Oeste'!E23)/('Cuadro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10.513899517739056</v>
      </c>
      <c r="M23" s="129">
        <f>IFERROR(('Cuadro 11-Veraguas'!E23)/('Cuadro 2-Bocas del Toro'!E23+'Cuadro 3-Coclé'!E23+'Cuadro 4-Colón'!E23+'Cuadro 5-Chiriquí'!E23+'Cuadro 6-Darién'!E23+'Cuadro 7-Herrera'!E23+'Cuadro 8-Los Santos'!E23+'Cuadro 9-Panamá'!E23+'Cuadro 10-Panamá Oeste'!E23+'Cuadro 11-Veraguas'!E23)*100,"")</f>
        <v>2.7912677896439417</v>
      </c>
      <c r="N23" s="47"/>
    </row>
    <row r="24" spans="1:14" ht="32.25" customHeight="1">
      <c r="A24" s="21" t="s">
        <v>25</v>
      </c>
      <c r="B24" s="37" t="s">
        <v>34</v>
      </c>
      <c r="C24" s="145">
        <f>IFERROR(('Cuadro 2-Bocas del Toro'!E24+'Cuadro 3-Coclé'!E24+'Cuadro 4-Colón'!E24+'Cuadro 5-Chiriquí'!E24+'Cuadro 6-Darién'!E24+'Cuadro 7-Herrera'!E24+'Cuadro 8-Los Santos'!E24+'Cuadro 9-Panamá'!E24+'Cuadro 10-Panamá Oeste'!E24+'Cuadro 11-Veraguas'!E24)/('Cuadro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100</v>
      </c>
      <c r="D24" s="145">
        <f>IFERROR(('Cuadro 2-Bocas del Toro'!E24)/('Cuadro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1.7577876781488988</v>
      </c>
      <c r="E24" s="145">
        <f>IFERROR(('Cuadro 3-Coclé'!E24)/('Cuadro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3.0540724477472025</v>
      </c>
      <c r="F24" s="145">
        <f>IFERROR(('Cuadro 4-Colón'!E24)/('Cuadro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8.3406042620392</v>
      </c>
      <c r="G24" s="145">
        <f>IFERROR(('Cuadro 5-Chiriquí'!E24)/('Cuadro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7.8828422763526733</v>
      </c>
      <c r="H24" s="145">
        <f>IFERROR(('Cuadro 6-Darién'!E24)/('Cuadro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0.30995680020227334</v>
      </c>
      <c r="I24" s="145">
        <f>IFERROR(('Cuadro 7-Herrera'!E24)/('Cuadro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2.058108981644057</v>
      </c>
      <c r="J24" s="145">
        <f>IFERROR(('Cuadro 8-Los Santos'!E24)/('Cuadro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1.3668259297539076</v>
      </c>
      <c r="K24" s="145">
        <f>IFERROR(('Cuadro 9-Panamá'!E24)/('Cuadro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57.960514845890422</v>
      </c>
      <c r="L24" s="132">
        <f>IFERROR(('Cuadro 10-Panamá Oeste'!E24)/('Cuadro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14.241975627933007</v>
      </c>
      <c r="M24" s="117">
        <f>IFERROR(('Cuadro 11-Veraguas'!E24)/('Cuadro 2-Bocas del Toro'!E24+'Cuadro 3-Coclé'!E24+'Cuadro 4-Colón'!E24+'Cuadro 5-Chiriquí'!E24+'Cuadro 6-Darién'!E24+'Cuadro 7-Herrera'!E24+'Cuadro 8-Los Santos'!E24+'Cuadro 9-Panamá'!E24+'Cuadro 10-Panamá Oeste'!E24+'Cuadro 11-Veraguas'!E24)*100,"")</f>
        <v>3.0273111502883596</v>
      </c>
      <c r="N24" s="47"/>
    </row>
    <row r="25" spans="1:14" ht="50.25" customHeight="1">
      <c r="A25" s="30"/>
      <c r="B25" s="38" t="s">
        <v>35</v>
      </c>
      <c r="C25" s="146">
        <f>IFERROR(('Cuadro 2-Bocas del Toro'!E25+'Cuadro 3-Coclé'!E25+'Cuadro 4-Colón'!E25+'Cuadro 5-Chiriquí'!E25+'Cuadro 6-Darién'!E25+'Cuadro 7-Herrera'!E25+'Cuadro 8-Los Santos'!E25+'Cuadro 9-Panamá'!E25+'Cuadro 10-Panamá Oeste'!E25+'Cuadro 11-Veraguas'!E25)/('Cuadro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100</v>
      </c>
      <c r="D25" s="146">
        <f>IFERROR(('Cuadro 2-Bocas del Toro'!E25)/('Cuadro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1.6488280777917597</v>
      </c>
      <c r="E25" s="146">
        <f>IFERROR(('Cuadro 3-Coclé'!E25)/('Cuadro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2.9667760385615671</v>
      </c>
      <c r="F25" s="146">
        <f>IFERROR(('Cuadro 4-Colón'!E25)/('Cuadro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15.936218748657872</v>
      </c>
      <c r="G25" s="146">
        <f>IFERROR(('Cuadro 5-Chiriquí'!E25)/('Cuadro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6.2779453310990885</v>
      </c>
      <c r="H25" s="146">
        <f>IFERROR(('Cuadro 6-Darién'!E25)/('Cuadro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0.43601685682436059</v>
      </c>
      <c r="I25" s="146">
        <f>IFERROR(('Cuadro 7-Herrera'!E25)/('Cuadro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1.2792050638707944</v>
      </c>
      <c r="J25" s="146">
        <f>IFERROR(('Cuadro 8-Los Santos'!E25)/('Cuadro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1.3264422995152736</v>
      </c>
      <c r="K25" s="146">
        <f>IFERROR(('Cuadro 9-Panamá'!E25)/('Cuadro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56.719576920107698</v>
      </c>
      <c r="L25" s="144">
        <f>IFERROR(('Cuadro 10-Panamá Oeste'!E25)/('Cuadro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10.611147576280558</v>
      </c>
      <c r="M25" s="129">
        <f>IFERROR(('Cuadro 11-Veraguas'!E25)/('Cuadro 2-Bocas del Toro'!E25+'Cuadro 3-Coclé'!E25+'Cuadro 4-Colón'!E25+'Cuadro 5-Chiriquí'!E25+'Cuadro 6-Darién'!E25+'Cuadro 7-Herrera'!E25+'Cuadro 8-Los Santos'!E25+'Cuadro 9-Panamá'!E25+'Cuadro 10-Panamá Oeste'!E25+'Cuadro 11-Veraguas'!E25)*100,"")</f>
        <v>2.7978430872910183</v>
      </c>
      <c r="N25" s="47"/>
    </row>
    <row r="26" spans="1:14" ht="15">
      <c r="A26" s="7"/>
      <c r="B26" s="17"/>
      <c r="C26" s="39"/>
      <c r="D26" s="41"/>
      <c r="E26" s="39"/>
      <c r="F26" s="39"/>
      <c r="G26" s="39"/>
      <c r="H26" s="39"/>
      <c r="I26" s="39"/>
      <c r="J26" s="39"/>
      <c r="K26" s="39"/>
      <c r="L26" s="39"/>
      <c r="M26" s="39"/>
      <c r="N26" s="113"/>
    </row>
    <row r="27" spans="1:14" ht="13.5" customHeight="1">
      <c r="A27" s="222" t="s">
        <v>65</v>
      </c>
      <c r="B27" s="222"/>
      <c r="C27" s="222"/>
      <c r="D27" s="222"/>
      <c r="E27" s="222"/>
      <c r="F27" s="222"/>
      <c r="G27" s="9"/>
      <c r="H27" s="9"/>
      <c r="I27" s="8"/>
      <c r="J27" s="8"/>
      <c r="K27" s="8"/>
      <c r="L27" s="8"/>
    </row>
    <row r="28" spans="1:14" s="9" customFormat="1" ht="13.5" customHeight="1">
      <c r="A28" s="64" t="s">
        <v>82</v>
      </c>
      <c r="B28" s="43"/>
      <c r="C28" s="43"/>
      <c r="D28" s="43"/>
      <c r="E28" s="43"/>
      <c r="F28" s="43"/>
      <c r="I28" s="12"/>
      <c r="J28" s="12"/>
      <c r="K28" s="12"/>
      <c r="L28" s="12"/>
      <c r="N28" s="92"/>
    </row>
    <row r="29" spans="1:14" s="9" customFormat="1" ht="13.5" customHeight="1">
      <c r="A29" s="64" t="s">
        <v>81</v>
      </c>
      <c r="B29" s="43"/>
      <c r="C29" s="43"/>
      <c r="D29" s="43"/>
      <c r="E29" s="43"/>
      <c r="F29" s="43"/>
      <c r="I29" s="10"/>
      <c r="J29" s="10"/>
      <c r="K29" s="1"/>
      <c r="L29" s="1"/>
      <c r="N29" s="92"/>
    </row>
    <row r="30" spans="1:14" s="9" customFormat="1" ht="13.5" customHeight="1">
      <c r="A30" s="64" t="s">
        <v>351</v>
      </c>
      <c r="B30" s="64"/>
      <c r="C30" s="64"/>
      <c r="D30" s="64"/>
      <c r="E30" s="64"/>
      <c r="F30" s="64"/>
      <c r="I30" s="10"/>
      <c r="J30" s="10"/>
      <c r="K30" s="1"/>
      <c r="L30" s="1"/>
      <c r="N30" s="92"/>
    </row>
    <row r="31" spans="1:14" s="9" customFormat="1" ht="13.5" customHeight="1">
      <c r="A31" s="64" t="s">
        <v>98</v>
      </c>
      <c r="B31" s="64"/>
      <c r="C31" s="64"/>
      <c r="D31" s="64"/>
      <c r="E31" s="64"/>
      <c r="F31" s="64"/>
      <c r="G31" s="10"/>
      <c r="H31" s="10"/>
      <c r="I31" s="10"/>
      <c r="J31" s="10"/>
      <c r="K31" s="1"/>
      <c r="L31" s="1"/>
      <c r="N31" s="92"/>
    </row>
    <row r="32" spans="1:14" s="9" customFormat="1" ht="13.5" customHeight="1">
      <c r="A32" s="18" t="s">
        <v>99</v>
      </c>
      <c r="B32" s="45"/>
      <c r="G32" s="10"/>
      <c r="H32" s="10"/>
      <c r="I32" s="10"/>
      <c r="J32" s="10"/>
      <c r="K32" s="1"/>
      <c r="L32" s="1"/>
      <c r="N32" s="92"/>
    </row>
    <row r="33" spans="1:14" s="9" customFormat="1" ht="13.5" customHeight="1">
      <c r="A33" s="18" t="s">
        <v>36</v>
      </c>
      <c r="B33" s="104"/>
      <c r="G33" s="10"/>
      <c r="H33" s="10"/>
      <c r="I33" s="10"/>
      <c r="J33" s="10"/>
      <c r="K33" s="1"/>
      <c r="L33" s="1"/>
      <c r="N33" s="92"/>
    </row>
    <row r="34" spans="1:14" s="9" customFormat="1" ht="13.5" customHeight="1">
      <c r="A34" s="9" t="s">
        <v>37</v>
      </c>
      <c r="B34" s="46"/>
      <c r="C34" s="100"/>
      <c r="D34" s="100"/>
      <c r="E34" s="101"/>
      <c r="F34" s="101"/>
      <c r="G34" s="10"/>
      <c r="H34" s="10"/>
      <c r="I34" s="10"/>
      <c r="J34" s="10"/>
      <c r="K34" s="1"/>
      <c r="L34" s="1"/>
      <c r="N34" s="92"/>
    </row>
    <row r="35" spans="1:14" ht="13.5" customHeight="1">
      <c r="A35" s="9" t="s">
        <v>86</v>
      </c>
      <c r="B35" s="101"/>
      <c r="C35" s="100"/>
      <c r="D35" s="100"/>
      <c r="E35" s="101"/>
      <c r="F35" s="101"/>
      <c r="G35" s="103"/>
      <c r="H35" s="103"/>
      <c r="I35" s="103"/>
      <c r="J35" s="103"/>
      <c r="K35" s="103"/>
      <c r="L35" s="103"/>
      <c r="M35" s="103"/>
    </row>
    <row r="36" spans="1:14" ht="13.5" customHeight="1">
      <c r="A36" s="18"/>
      <c r="B36" s="64"/>
      <c r="C36" s="64"/>
      <c r="D36" s="64"/>
      <c r="E36" s="100"/>
      <c r="F36" s="100"/>
      <c r="G36" s="48"/>
      <c r="H36" s="48"/>
      <c r="I36" s="48"/>
      <c r="J36" s="48"/>
      <c r="K36" s="48"/>
      <c r="L36" s="48"/>
      <c r="M36" s="48"/>
    </row>
    <row r="37" spans="1:14" ht="13.5" customHeight="1">
      <c r="A37" s="64"/>
      <c r="B37" s="118"/>
      <c r="C37" s="118"/>
      <c r="D37" s="118"/>
      <c r="E37" s="118"/>
      <c r="F37" s="118"/>
      <c r="G37" s="51"/>
      <c r="H37" s="51"/>
      <c r="I37" s="51"/>
      <c r="J37" s="51"/>
      <c r="K37" s="51"/>
      <c r="L37" s="51"/>
      <c r="M37" s="51"/>
    </row>
    <row r="38" spans="1:14">
      <c r="A38" s="18"/>
      <c r="D38" s="103"/>
      <c r="E38" s="103"/>
      <c r="F38" s="103"/>
      <c r="G38" s="51"/>
      <c r="H38" s="51"/>
      <c r="I38" s="51"/>
      <c r="J38" s="51"/>
      <c r="K38" s="51"/>
      <c r="L38" s="51"/>
      <c r="M38" s="51"/>
    </row>
    <row r="39" spans="1:14">
      <c r="C39" s="48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4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</sheetData>
  <mergeCells count="4">
    <mergeCell ref="A27:F27"/>
    <mergeCell ref="A5:A6"/>
    <mergeCell ref="C5:M5"/>
    <mergeCell ref="B5:B6"/>
  </mergeCells>
  <hyperlinks>
    <hyperlink ref="O5" location="Índice!A1" display="Índice"/>
  </hyperlinks>
  <printOptions horizontalCentered="1"/>
  <pageMargins left="0.70866141732283472" right="0.70866141732283472" top="0.74803149606299213" bottom="0.74803149606299213" header="0.31496062992125984" footer="0.31496062992125984"/>
  <pageSetup scale="37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pageSetUpPr fitToPage="1"/>
  </sheetPr>
  <dimension ref="A1:O40"/>
  <sheetViews>
    <sheetView zoomScaleNormal="100" zoomScaleSheetLayoutView="62" workbookViewId="0"/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89"/>
    <col min="15" max="241" width="11" style="1"/>
    <col min="242" max="242" width="17" style="1" customWidth="1"/>
    <col min="243" max="243" width="48.28515625" style="1" customWidth="1"/>
    <col min="244" max="250" width="13.5703125" style="1" customWidth="1"/>
    <col min="251" max="251" width="15.42578125" style="1" customWidth="1"/>
    <col min="252" max="254" width="13.5703125" style="1" customWidth="1"/>
    <col min="255" max="497" width="11" style="1"/>
    <col min="498" max="498" width="17" style="1" customWidth="1"/>
    <col min="499" max="499" width="48.28515625" style="1" customWidth="1"/>
    <col min="500" max="506" width="13.5703125" style="1" customWidth="1"/>
    <col min="507" max="507" width="15.42578125" style="1" customWidth="1"/>
    <col min="508" max="510" width="13.5703125" style="1" customWidth="1"/>
    <col min="511" max="753" width="11" style="1"/>
    <col min="754" max="754" width="17" style="1" customWidth="1"/>
    <col min="755" max="755" width="48.28515625" style="1" customWidth="1"/>
    <col min="756" max="762" width="13.5703125" style="1" customWidth="1"/>
    <col min="763" max="763" width="15.42578125" style="1" customWidth="1"/>
    <col min="764" max="766" width="13.5703125" style="1" customWidth="1"/>
    <col min="767" max="1009" width="11" style="1"/>
    <col min="1010" max="1010" width="17" style="1" customWidth="1"/>
    <col min="1011" max="1011" width="48.28515625" style="1" customWidth="1"/>
    <col min="1012" max="1018" width="13.5703125" style="1" customWidth="1"/>
    <col min="1019" max="1019" width="15.42578125" style="1" customWidth="1"/>
    <col min="1020" max="1022" width="13.5703125" style="1" customWidth="1"/>
    <col min="1023" max="1265" width="11" style="1"/>
    <col min="1266" max="1266" width="17" style="1" customWidth="1"/>
    <col min="1267" max="1267" width="48.28515625" style="1" customWidth="1"/>
    <col min="1268" max="1274" width="13.5703125" style="1" customWidth="1"/>
    <col min="1275" max="1275" width="15.42578125" style="1" customWidth="1"/>
    <col min="1276" max="1278" width="13.5703125" style="1" customWidth="1"/>
    <col min="1279" max="1521" width="11" style="1"/>
    <col min="1522" max="1522" width="17" style="1" customWidth="1"/>
    <col min="1523" max="1523" width="48.28515625" style="1" customWidth="1"/>
    <col min="1524" max="1530" width="13.5703125" style="1" customWidth="1"/>
    <col min="1531" max="1531" width="15.42578125" style="1" customWidth="1"/>
    <col min="1532" max="1534" width="13.5703125" style="1" customWidth="1"/>
    <col min="1535" max="1777" width="11" style="1"/>
    <col min="1778" max="1778" width="17" style="1" customWidth="1"/>
    <col min="1779" max="1779" width="48.28515625" style="1" customWidth="1"/>
    <col min="1780" max="1786" width="13.5703125" style="1" customWidth="1"/>
    <col min="1787" max="1787" width="15.42578125" style="1" customWidth="1"/>
    <col min="1788" max="1790" width="13.5703125" style="1" customWidth="1"/>
    <col min="1791" max="2033" width="11" style="1"/>
    <col min="2034" max="2034" width="17" style="1" customWidth="1"/>
    <col min="2035" max="2035" width="48.28515625" style="1" customWidth="1"/>
    <col min="2036" max="2042" width="13.5703125" style="1" customWidth="1"/>
    <col min="2043" max="2043" width="15.42578125" style="1" customWidth="1"/>
    <col min="2044" max="2046" width="13.5703125" style="1" customWidth="1"/>
    <col min="2047" max="2289" width="11" style="1"/>
    <col min="2290" max="2290" width="17" style="1" customWidth="1"/>
    <col min="2291" max="2291" width="48.28515625" style="1" customWidth="1"/>
    <col min="2292" max="2298" width="13.5703125" style="1" customWidth="1"/>
    <col min="2299" max="2299" width="15.42578125" style="1" customWidth="1"/>
    <col min="2300" max="2302" width="13.5703125" style="1" customWidth="1"/>
    <col min="2303" max="2545" width="11" style="1"/>
    <col min="2546" max="2546" width="17" style="1" customWidth="1"/>
    <col min="2547" max="2547" width="48.28515625" style="1" customWidth="1"/>
    <col min="2548" max="2554" width="13.5703125" style="1" customWidth="1"/>
    <col min="2555" max="2555" width="15.42578125" style="1" customWidth="1"/>
    <col min="2556" max="2558" width="13.5703125" style="1" customWidth="1"/>
    <col min="2559" max="2801" width="11" style="1"/>
    <col min="2802" max="2802" width="17" style="1" customWidth="1"/>
    <col min="2803" max="2803" width="48.28515625" style="1" customWidth="1"/>
    <col min="2804" max="2810" width="13.5703125" style="1" customWidth="1"/>
    <col min="2811" max="2811" width="15.42578125" style="1" customWidth="1"/>
    <col min="2812" max="2814" width="13.5703125" style="1" customWidth="1"/>
    <col min="2815" max="3057" width="11" style="1"/>
    <col min="3058" max="3058" width="17" style="1" customWidth="1"/>
    <col min="3059" max="3059" width="48.28515625" style="1" customWidth="1"/>
    <col min="3060" max="3066" width="13.5703125" style="1" customWidth="1"/>
    <col min="3067" max="3067" width="15.42578125" style="1" customWidth="1"/>
    <col min="3068" max="3070" width="13.5703125" style="1" customWidth="1"/>
    <col min="3071" max="3313" width="11" style="1"/>
    <col min="3314" max="3314" width="17" style="1" customWidth="1"/>
    <col min="3315" max="3315" width="48.28515625" style="1" customWidth="1"/>
    <col min="3316" max="3322" width="13.5703125" style="1" customWidth="1"/>
    <col min="3323" max="3323" width="15.42578125" style="1" customWidth="1"/>
    <col min="3324" max="3326" width="13.5703125" style="1" customWidth="1"/>
    <col min="3327" max="3569" width="11" style="1"/>
    <col min="3570" max="3570" width="17" style="1" customWidth="1"/>
    <col min="3571" max="3571" width="48.28515625" style="1" customWidth="1"/>
    <col min="3572" max="3578" width="13.5703125" style="1" customWidth="1"/>
    <col min="3579" max="3579" width="15.42578125" style="1" customWidth="1"/>
    <col min="3580" max="3582" width="13.5703125" style="1" customWidth="1"/>
    <col min="3583" max="3825" width="11" style="1"/>
    <col min="3826" max="3826" width="17" style="1" customWidth="1"/>
    <col min="3827" max="3827" width="48.28515625" style="1" customWidth="1"/>
    <col min="3828" max="3834" width="13.5703125" style="1" customWidth="1"/>
    <col min="3835" max="3835" width="15.42578125" style="1" customWidth="1"/>
    <col min="3836" max="3838" width="13.5703125" style="1" customWidth="1"/>
    <col min="3839" max="4081" width="11" style="1"/>
    <col min="4082" max="4082" width="17" style="1" customWidth="1"/>
    <col min="4083" max="4083" width="48.28515625" style="1" customWidth="1"/>
    <col min="4084" max="4090" width="13.5703125" style="1" customWidth="1"/>
    <col min="4091" max="4091" width="15.42578125" style="1" customWidth="1"/>
    <col min="4092" max="4094" width="13.5703125" style="1" customWidth="1"/>
    <col min="4095" max="4337" width="11" style="1"/>
    <col min="4338" max="4338" width="17" style="1" customWidth="1"/>
    <col min="4339" max="4339" width="48.28515625" style="1" customWidth="1"/>
    <col min="4340" max="4346" width="13.5703125" style="1" customWidth="1"/>
    <col min="4347" max="4347" width="15.42578125" style="1" customWidth="1"/>
    <col min="4348" max="4350" width="13.5703125" style="1" customWidth="1"/>
    <col min="4351" max="4593" width="11" style="1"/>
    <col min="4594" max="4594" width="17" style="1" customWidth="1"/>
    <col min="4595" max="4595" width="48.28515625" style="1" customWidth="1"/>
    <col min="4596" max="4602" width="13.5703125" style="1" customWidth="1"/>
    <col min="4603" max="4603" width="15.42578125" style="1" customWidth="1"/>
    <col min="4604" max="4606" width="13.5703125" style="1" customWidth="1"/>
    <col min="4607" max="4849" width="11" style="1"/>
    <col min="4850" max="4850" width="17" style="1" customWidth="1"/>
    <col min="4851" max="4851" width="48.28515625" style="1" customWidth="1"/>
    <col min="4852" max="4858" width="13.5703125" style="1" customWidth="1"/>
    <col min="4859" max="4859" width="15.42578125" style="1" customWidth="1"/>
    <col min="4860" max="4862" width="13.5703125" style="1" customWidth="1"/>
    <col min="4863" max="5105" width="11" style="1"/>
    <col min="5106" max="5106" width="17" style="1" customWidth="1"/>
    <col min="5107" max="5107" width="48.28515625" style="1" customWidth="1"/>
    <col min="5108" max="5114" width="13.5703125" style="1" customWidth="1"/>
    <col min="5115" max="5115" width="15.42578125" style="1" customWidth="1"/>
    <col min="5116" max="5118" width="13.5703125" style="1" customWidth="1"/>
    <col min="5119" max="5361" width="11" style="1"/>
    <col min="5362" max="5362" width="17" style="1" customWidth="1"/>
    <col min="5363" max="5363" width="48.28515625" style="1" customWidth="1"/>
    <col min="5364" max="5370" width="13.5703125" style="1" customWidth="1"/>
    <col min="5371" max="5371" width="15.42578125" style="1" customWidth="1"/>
    <col min="5372" max="5374" width="13.5703125" style="1" customWidth="1"/>
    <col min="5375" max="5617" width="11" style="1"/>
    <col min="5618" max="5618" width="17" style="1" customWidth="1"/>
    <col min="5619" max="5619" width="48.28515625" style="1" customWidth="1"/>
    <col min="5620" max="5626" width="13.5703125" style="1" customWidth="1"/>
    <col min="5627" max="5627" width="15.42578125" style="1" customWidth="1"/>
    <col min="5628" max="5630" width="13.5703125" style="1" customWidth="1"/>
    <col min="5631" max="5873" width="11" style="1"/>
    <col min="5874" max="5874" width="17" style="1" customWidth="1"/>
    <col min="5875" max="5875" width="48.28515625" style="1" customWidth="1"/>
    <col min="5876" max="5882" width="13.5703125" style="1" customWidth="1"/>
    <col min="5883" max="5883" width="15.42578125" style="1" customWidth="1"/>
    <col min="5884" max="5886" width="13.5703125" style="1" customWidth="1"/>
    <col min="5887" max="6129" width="11" style="1"/>
    <col min="6130" max="6130" width="17" style="1" customWidth="1"/>
    <col min="6131" max="6131" width="48.28515625" style="1" customWidth="1"/>
    <col min="6132" max="6138" width="13.5703125" style="1" customWidth="1"/>
    <col min="6139" max="6139" width="15.42578125" style="1" customWidth="1"/>
    <col min="6140" max="6142" width="13.5703125" style="1" customWidth="1"/>
    <col min="6143" max="6385" width="11" style="1"/>
    <col min="6386" max="6386" width="17" style="1" customWidth="1"/>
    <col min="6387" max="6387" width="48.28515625" style="1" customWidth="1"/>
    <col min="6388" max="6394" width="13.5703125" style="1" customWidth="1"/>
    <col min="6395" max="6395" width="15.42578125" style="1" customWidth="1"/>
    <col min="6396" max="6398" width="13.5703125" style="1" customWidth="1"/>
    <col min="6399" max="6641" width="11" style="1"/>
    <col min="6642" max="6642" width="17" style="1" customWidth="1"/>
    <col min="6643" max="6643" width="48.28515625" style="1" customWidth="1"/>
    <col min="6644" max="6650" width="13.5703125" style="1" customWidth="1"/>
    <col min="6651" max="6651" width="15.42578125" style="1" customWidth="1"/>
    <col min="6652" max="6654" width="13.5703125" style="1" customWidth="1"/>
    <col min="6655" max="6897" width="11" style="1"/>
    <col min="6898" max="6898" width="17" style="1" customWidth="1"/>
    <col min="6899" max="6899" width="48.28515625" style="1" customWidth="1"/>
    <col min="6900" max="6906" width="13.5703125" style="1" customWidth="1"/>
    <col min="6907" max="6907" width="15.42578125" style="1" customWidth="1"/>
    <col min="6908" max="6910" width="13.5703125" style="1" customWidth="1"/>
    <col min="6911" max="7153" width="11" style="1"/>
    <col min="7154" max="7154" width="17" style="1" customWidth="1"/>
    <col min="7155" max="7155" width="48.28515625" style="1" customWidth="1"/>
    <col min="7156" max="7162" width="13.5703125" style="1" customWidth="1"/>
    <col min="7163" max="7163" width="15.42578125" style="1" customWidth="1"/>
    <col min="7164" max="7166" width="13.5703125" style="1" customWidth="1"/>
    <col min="7167" max="7409" width="11" style="1"/>
    <col min="7410" max="7410" width="17" style="1" customWidth="1"/>
    <col min="7411" max="7411" width="48.28515625" style="1" customWidth="1"/>
    <col min="7412" max="7418" width="13.5703125" style="1" customWidth="1"/>
    <col min="7419" max="7419" width="15.42578125" style="1" customWidth="1"/>
    <col min="7420" max="7422" width="13.5703125" style="1" customWidth="1"/>
    <col min="7423" max="7665" width="11" style="1"/>
    <col min="7666" max="7666" width="17" style="1" customWidth="1"/>
    <col min="7667" max="7667" width="48.28515625" style="1" customWidth="1"/>
    <col min="7668" max="7674" width="13.5703125" style="1" customWidth="1"/>
    <col min="7675" max="7675" width="15.42578125" style="1" customWidth="1"/>
    <col min="7676" max="7678" width="13.5703125" style="1" customWidth="1"/>
    <col min="7679" max="7921" width="11" style="1"/>
    <col min="7922" max="7922" width="17" style="1" customWidth="1"/>
    <col min="7923" max="7923" width="48.28515625" style="1" customWidth="1"/>
    <col min="7924" max="7930" width="13.5703125" style="1" customWidth="1"/>
    <col min="7931" max="7931" width="15.42578125" style="1" customWidth="1"/>
    <col min="7932" max="7934" width="13.5703125" style="1" customWidth="1"/>
    <col min="7935" max="8177" width="11" style="1"/>
    <col min="8178" max="8178" width="17" style="1" customWidth="1"/>
    <col min="8179" max="8179" width="48.28515625" style="1" customWidth="1"/>
    <col min="8180" max="8186" width="13.5703125" style="1" customWidth="1"/>
    <col min="8187" max="8187" width="15.42578125" style="1" customWidth="1"/>
    <col min="8188" max="8190" width="13.5703125" style="1" customWidth="1"/>
    <col min="8191" max="8433" width="11" style="1"/>
    <col min="8434" max="8434" width="17" style="1" customWidth="1"/>
    <col min="8435" max="8435" width="48.28515625" style="1" customWidth="1"/>
    <col min="8436" max="8442" width="13.5703125" style="1" customWidth="1"/>
    <col min="8443" max="8443" width="15.42578125" style="1" customWidth="1"/>
    <col min="8444" max="8446" width="13.5703125" style="1" customWidth="1"/>
    <col min="8447" max="8689" width="11" style="1"/>
    <col min="8690" max="8690" width="17" style="1" customWidth="1"/>
    <col min="8691" max="8691" width="48.28515625" style="1" customWidth="1"/>
    <col min="8692" max="8698" width="13.5703125" style="1" customWidth="1"/>
    <col min="8699" max="8699" width="15.42578125" style="1" customWidth="1"/>
    <col min="8700" max="8702" width="13.5703125" style="1" customWidth="1"/>
    <col min="8703" max="8945" width="11" style="1"/>
    <col min="8946" max="8946" width="17" style="1" customWidth="1"/>
    <col min="8947" max="8947" width="48.28515625" style="1" customWidth="1"/>
    <col min="8948" max="8954" width="13.5703125" style="1" customWidth="1"/>
    <col min="8955" max="8955" width="15.42578125" style="1" customWidth="1"/>
    <col min="8956" max="8958" width="13.5703125" style="1" customWidth="1"/>
    <col min="8959" max="9201" width="11" style="1"/>
    <col min="9202" max="9202" width="17" style="1" customWidth="1"/>
    <col min="9203" max="9203" width="48.28515625" style="1" customWidth="1"/>
    <col min="9204" max="9210" width="13.5703125" style="1" customWidth="1"/>
    <col min="9211" max="9211" width="15.42578125" style="1" customWidth="1"/>
    <col min="9212" max="9214" width="13.5703125" style="1" customWidth="1"/>
    <col min="9215" max="9457" width="11" style="1"/>
    <col min="9458" max="9458" width="17" style="1" customWidth="1"/>
    <col min="9459" max="9459" width="48.28515625" style="1" customWidth="1"/>
    <col min="9460" max="9466" width="13.5703125" style="1" customWidth="1"/>
    <col min="9467" max="9467" width="15.42578125" style="1" customWidth="1"/>
    <col min="9468" max="9470" width="13.5703125" style="1" customWidth="1"/>
    <col min="9471" max="9713" width="11" style="1"/>
    <col min="9714" max="9714" width="17" style="1" customWidth="1"/>
    <col min="9715" max="9715" width="48.28515625" style="1" customWidth="1"/>
    <col min="9716" max="9722" width="13.5703125" style="1" customWidth="1"/>
    <col min="9723" max="9723" width="15.42578125" style="1" customWidth="1"/>
    <col min="9724" max="9726" width="13.5703125" style="1" customWidth="1"/>
    <col min="9727" max="9969" width="11" style="1"/>
    <col min="9970" max="9970" width="17" style="1" customWidth="1"/>
    <col min="9971" max="9971" width="48.28515625" style="1" customWidth="1"/>
    <col min="9972" max="9978" width="13.5703125" style="1" customWidth="1"/>
    <col min="9979" max="9979" width="15.42578125" style="1" customWidth="1"/>
    <col min="9980" max="9982" width="13.5703125" style="1" customWidth="1"/>
    <col min="9983" max="10225" width="11" style="1"/>
    <col min="10226" max="10226" width="17" style="1" customWidth="1"/>
    <col min="10227" max="10227" width="48.28515625" style="1" customWidth="1"/>
    <col min="10228" max="10234" width="13.5703125" style="1" customWidth="1"/>
    <col min="10235" max="10235" width="15.42578125" style="1" customWidth="1"/>
    <col min="10236" max="10238" width="13.5703125" style="1" customWidth="1"/>
    <col min="10239" max="10481" width="11" style="1"/>
    <col min="10482" max="10482" width="17" style="1" customWidth="1"/>
    <col min="10483" max="10483" width="48.28515625" style="1" customWidth="1"/>
    <col min="10484" max="10490" width="13.5703125" style="1" customWidth="1"/>
    <col min="10491" max="10491" width="15.42578125" style="1" customWidth="1"/>
    <col min="10492" max="10494" width="13.5703125" style="1" customWidth="1"/>
    <col min="10495" max="10737" width="11" style="1"/>
    <col min="10738" max="10738" width="17" style="1" customWidth="1"/>
    <col min="10739" max="10739" width="48.28515625" style="1" customWidth="1"/>
    <col min="10740" max="10746" width="13.5703125" style="1" customWidth="1"/>
    <col min="10747" max="10747" width="15.42578125" style="1" customWidth="1"/>
    <col min="10748" max="10750" width="13.5703125" style="1" customWidth="1"/>
    <col min="10751" max="10993" width="11" style="1"/>
    <col min="10994" max="10994" width="17" style="1" customWidth="1"/>
    <col min="10995" max="10995" width="48.28515625" style="1" customWidth="1"/>
    <col min="10996" max="11002" width="13.5703125" style="1" customWidth="1"/>
    <col min="11003" max="11003" width="15.42578125" style="1" customWidth="1"/>
    <col min="11004" max="11006" width="13.5703125" style="1" customWidth="1"/>
    <col min="11007" max="11249" width="11" style="1"/>
    <col min="11250" max="11250" width="17" style="1" customWidth="1"/>
    <col min="11251" max="11251" width="48.28515625" style="1" customWidth="1"/>
    <col min="11252" max="11258" width="13.5703125" style="1" customWidth="1"/>
    <col min="11259" max="11259" width="15.42578125" style="1" customWidth="1"/>
    <col min="11260" max="11262" width="13.5703125" style="1" customWidth="1"/>
    <col min="11263" max="11505" width="11" style="1"/>
    <col min="11506" max="11506" width="17" style="1" customWidth="1"/>
    <col min="11507" max="11507" width="48.28515625" style="1" customWidth="1"/>
    <col min="11508" max="11514" width="13.5703125" style="1" customWidth="1"/>
    <col min="11515" max="11515" width="15.42578125" style="1" customWidth="1"/>
    <col min="11516" max="11518" width="13.5703125" style="1" customWidth="1"/>
    <col min="11519" max="11761" width="11" style="1"/>
    <col min="11762" max="11762" width="17" style="1" customWidth="1"/>
    <col min="11763" max="11763" width="48.28515625" style="1" customWidth="1"/>
    <col min="11764" max="11770" width="13.5703125" style="1" customWidth="1"/>
    <col min="11771" max="11771" width="15.42578125" style="1" customWidth="1"/>
    <col min="11772" max="11774" width="13.5703125" style="1" customWidth="1"/>
    <col min="11775" max="12017" width="11" style="1"/>
    <col min="12018" max="12018" width="17" style="1" customWidth="1"/>
    <col min="12019" max="12019" width="48.28515625" style="1" customWidth="1"/>
    <col min="12020" max="12026" width="13.5703125" style="1" customWidth="1"/>
    <col min="12027" max="12027" width="15.42578125" style="1" customWidth="1"/>
    <col min="12028" max="12030" width="13.5703125" style="1" customWidth="1"/>
    <col min="12031" max="12273" width="11" style="1"/>
    <col min="12274" max="12274" width="17" style="1" customWidth="1"/>
    <col min="12275" max="12275" width="48.28515625" style="1" customWidth="1"/>
    <col min="12276" max="12282" width="13.5703125" style="1" customWidth="1"/>
    <col min="12283" max="12283" width="15.42578125" style="1" customWidth="1"/>
    <col min="12284" max="12286" width="13.5703125" style="1" customWidth="1"/>
    <col min="12287" max="12529" width="11" style="1"/>
    <col min="12530" max="12530" width="17" style="1" customWidth="1"/>
    <col min="12531" max="12531" width="48.28515625" style="1" customWidth="1"/>
    <col min="12532" max="12538" width="13.5703125" style="1" customWidth="1"/>
    <col min="12539" max="12539" width="15.42578125" style="1" customWidth="1"/>
    <col min="12540" max="12542" width="13.5703125" style="1" customWidth="1"/>
    <col min="12543" max="12785" width="11" style="1"/>
    <col min="12786" max="12786" width="17" style="1" customWidth="1"/>
    <col min="12787" max="12787" width="48.28515625" style="1" customWidth="1"/>
    <col min="12788" max="12794" width="13.5703125" style="1" customWidth="1"/>
    <col min="12795" max="12795" width="15.42578125" style="1" customWidth="1"/>
    <col min="12796" max="12798" width="13.5703125" style="1" customWidth="1"/>
    <col min="12799" max="13041" width="11" style="1"/>
    <col min="13042" max="13042" width="17" style="1" customWidth="1"/>
    <col min="13043" max="13043" width="48.28515625" style="1" customWidth="1"/>
    <col min="13044" max="13050" width="13.5703125" style="1" customWidth="1"/>
    <col min="13051" max="13051" width="15.42578125" style="1" customWidth="1"/>
    <col min="13052" max="13054" width="13.5703125" style="1" customWidth="1"/>
    <col min="13055" max="13297" width="11" style="1"/>
    <col min="13298" max="13298" width="17" style="1" customWidth="1"/>
    <col min="13299" max="13299" width="48.28515625" style="1" customWidth="1"/>
    <col min="13300" max="13306" width="13.5703125" style="1" customWidth="1"/>
    <col min="13307" max="13307" width="15.42578125" style="1" customWidth="1"/>
    <col min="13308" max="13310" width="13.5703125" style="1" customWidth="1"/>
    <col min="13311" max="13553" width="11" style="1"/>
    <col min="13554" max="13554" width="17" style="1" customWidth="1"/>
    <col min="13555" max="13555" width="48.28515625" style="1" customWidth="1"/>
    <col min="13556" max="13562" width="13.5703125" style="1" customWidth="1"/>
    <col min="13563" max="13563" width="15.42578125" style="1" customWidth="1"/>
    <col min="13564" max="13566" width="13.5703125" style="1" customWidth="1"/>
    <col min="13567" max="13809" width="11" style="1"/>
    <col min="13810" max="13810" width="17" style="1" customWidth="1"/>
    <col min="13811" max="13811" width="48.28515625" style="1" customWidth="1"/>
    <col min="13812" max="13818" width="13.5703125" style="1" customWidth="1"/>
    <col min="13819" max="13819" width="15.42578125" style="1" customWidth="1"/>
    <col min="13820" max="13822" width="13.5703125" style="1" customWidth="1"/>
    <col min="13823" max="14065" width="11" style="1"/>
    <col min="14066" max="14066" width="17" style="1" customWidth="1"/>
    <col min="14067" max="14067" width="48.28515625" style="1" customWidth="1"/>
    <col min="14068" max="14074" width="13.5703125" style="1" customWidth="1"/>
    <col min="14075" max="14075" width="15.42578125" style="1" customWidth="1"/>
    <col min="14076" max="14078" width="13.5703125" style="1" customWidth="1"/>
    <col min="14079" max="14321" width="11" style="1"/>
    <col min="14322" max="14322" width="17" style="1" customWidth="1"/>
    <col min="14323" max="14323" width="48.28515625" style="1" customWidth="1"/>
    <col min="14324" max="14330" width="13.5703125" style="1" customWidth="1"/>
    <col min="14331" max="14331" width="15.42578125" style="1" customWidth="1"/>
    <col min="14332" max="14334" width="13.5703125" style="1" customWidth="1"/>
    <col min="14335" max="14577" width="11" style="1"/>
    <col min="14578" max="14578" width="17" style="1" customWidth="1"/>
    <col min="14579" max="14579" width="48.28515625" style="1" customWidth="1"/>
    <col min="14580" max="14586" width="13.5703125" style="1" customWidth="1"/>
    <col min="14587" max="14587" width="15.42578125" style="1" customWidth="1"/>
    <col min="14588" max="14590" width="13.5703125" style="1" customWidth="1"/>
    <col min="14591" max="14833" width="11" style="1"/>
    <col min="14834" max="14834" width="17" style="1" customWidth="1"/>
    <col min="14835" max="14835" width="48.28515625" style="1" customWidth="1"/>
    <col min="14836" max="14842" width="13.5703125" style="1" customWidth="1"/>
    <col min="14843" max="14843" width="15.42578125" style="1" customWidth="1"/>
    <col min="14844" max="14846" width="13.5703125" style="1" customWidth="1"/>
    <col min="14847" max="15089" width="11" style="1"/>
    <col min="15090" max="15090" width="17" style="1" customWidth="1"/>
    <col min="15091" max="15091" width="48.28515625" style="1" customWidth="1"/>
    <col min="15092" max="15098" width="13.5703125" style="1" customWidth="1"/>
    <col min="15099" max="15099" width="15.42578125" style="1" customWidth="1"/>
    <col min="15100" max="15102" width="13.5703125" style="1" customWidth="1"/>
    <col min="15103" max="15345" width="11" style="1"/>
    <col min="15346" max="15346" width="17" style="1" customWidth="1"/>
    <col min="15347" max="15347" width="48.28515625" style="1" customWidth="1"/>
    <col min="15348" max="15354" width="13.5703125" style="1" customWidth="1"/>
    <col min="15355" max="15355" width="15.42578125" style="1" customWidth="1"/>
    <col min="15356" max="15358" width="13.5703125" style="1" customWidth="1"/>
    <col min="15359" max="15601" width="11" style="1"/>
    <col min="15602" max="15602" width="17" style="1" customWidth="1"/>
    <col min="15603" max="15603" width="48.28515625" style="1" customWidth="1"/>
    <col min="15604" max="15610" width="13.5703125" style="1" customWidth="1"/>
    <col min="15611" max="15611" width="15.42578125" style="1" customWidth="1"/>
    <col min="15612" max="15614" width="13.5703125" style="1" customWidth="1"/>
    <col min="15615" max="15857" width="11" style="1"/>
    <col min="15858" max="15858" width="17" style="1" customWidth="1"/>
    <col min="15859" max="15859" width="48.28515625" style="1" customWidth="1"/>
    <col min="15860" max="15866" width="13.5703125" style="1" customWidth="1"/>
    <col min="15867" max="15867" width="15.42578125" style="1" customWidth="1"/>
    <col min="15868" max="15870" width="13.5703125" style="1" customWidth="1"/>
    <col min="15871" max="16113" width="11" style="1"/>
    <col min="16114" max="16114" width="17" style="1" customWidth="1"/>
    <col min="16115" max="16115" width="48.28515625" style="1" customWidth="1"/>
    <col min="16116" max="16122" width="13.5703125" style="1" customWidth="1"/>
    <col min="16123" max="16123" width="15.42578125" style="1" customWidth="1"/>
    <col min="16124" max="16126" width="13.5703125" style="1" customWidth="1"/>
    <col min="16127" max="16384" width="11" style="1"/>
  </cols>
  <sheetData>
    <row r="1" spans="1:15" ht="17.25" customHeight="1">
      <c r="A1" s="42" t="s">
        <v>180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O1" s="101"/>
    </row>
    <row r="2" spans="1:15" ht="17.25" customHeight="1">
      <c r="A2" s="191" t="s">
        <v>176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O2" s="101"/>
    </row>
    <row r="3" spans="1:15" s="9" customFormat="1" ht="17.25" customHeight="1">
      <c r="A3" s="185">
        <v>2021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O3" s="13"/>
    </row>
    <row r="4" spans="1:15" s="7" customFormat="1" ht="17.25" customHeight="1" thickBot="1">
      <c r="A4" s="185" t="s">
        <v>216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14"/>
      <c r="O4" s="114"/>
    </row>
    <row r="5" spans="1:15" s="7" customFormat="1" ht="37.5" customHeight="1" thickTop="1">
      <c r="A5" s="217" t="s">
        <v>29</v>
      </c>
      <c r="B5" s="217" t="s">
        <v>30</v>
      </c>
      <c r="C5" s="219" t="s">
        <v>48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  <c r="N5" s="112"/>
      <c r="O5" s="193" t="s">
        <v>42</v>
      </c>
    </row>
    <row r="6" spans="1:15" s="7" customFormat="1" ht="37.5" customHeight="1" thickBot="1">
      <c r="A6" s="223"/>
      <c r="B6" s="223"/>
      <c r="C6" s="133" t="s">
        <v>49</v>
      </c>
      <c r="D6" s="134" t="s">
        <v>12</v>
      </c>
      <c r="E6" s="133" t="s">
        <v>13</v>
      </c>
      <c r="F6" s="133" t="s">
        <v>14</v>
      </c>
      <c r="G6" s="133" t="s">
        <v>15</v>
      </c>
      <c r="H6" s="134" t="s">
        <v>16</v>
      </c>
      <c r="I6" s="133" t="s">
        <v>17</v>
      </c>
      <c r="J6" s="133" t="s">
        <v>18</v>
      </c>
      <c r="K6" s="133" t="s">
        <v>19</v>
      </c>
      <c r="L6" s="134" t="s">
        <v>24</v>
      </c>
      <c r="M6" s="133" t="s">
        <v>21</v>
      </c>
      <c r="N6" s="58"/>
      <c r="O6" s="114"/>
    </row>
    <row r="7" spans="1:15" ht="32.25" customHeight="1" thickTop="1">
      <c r="A7" s="135" t="s">
        <v>0</v>
      </c>
      <c r="B7" s="136" t="s">
        <v>53</v>
      </c>
      <c r="C7" s="137">
        <f>IFERROR(('Cuadro 2-Bocas del Toro'!F7+'Cuadro 3-Coclé'!F7+'Cuadro 4-Colón'!F7+'Cuadro 5-Chiriquí'!F7+'Cuadro 6-Darién'!F7+'Cuadro 7-Herrera'!F7+'Cuadro 8-Los Santos'!F7+'Cuadro 9-Panamá'!F7+'Cuadro 10-Panamá Oeste'!F7+'Cuadro 11-Veraguas'!F7)/('Cuadro 2-Bocas del Toro'!F7+'Cuadro 3-Coclé'!F7+'Cuadro 4-Colón'!F7+'Cuadro 5-Chiriquí'!F7+'Cuadro 6-Darién'!F7+'Cuadro 7-Herrera'!F7+'Cuadro 8-Los Santos'!F7+'Cuadro 9-Panamá'!F7+'Cuadro 10-Panamá Oeste'!F7+'Cuadro 11-Veraguas'!F7)*100,"")</f>
        <v>100</v>
      </c>
      <c r="D7" s="137">
        <f>IFERROR(('Cuadro 2-Bocas del Toro'!F7)/('Cuadro 2-Bocas del Toro'!F7+'Cuadro 3-Coclé'!F7+'Cuadro 4-Colón'!F7+'Cuadro 5-Chiriquí'!F7+'Cuadro 6-Darién'!F7+'Cuadro 7-Herrera'!F7+'Cuadro 8-Los Santos'!F7+'Cuadro 9-Panamá'!F7+'Cuadro 10-Panamá Oeste'!F7+'Cuadro 11-Veraguas'!F7)*100,"")</f>
        <v>8.6411690535668253</v>
      </c>
      <c r="E7" s="137">
        <f>IFERROR(('Cuadro 3-Coclé'!F7)/('Cuadro 2-Bocas del Toro'!F7+'Cuadro 3-Coclé'!F7+'Cuadro 4-Colón'!F7+'Cuadro 5-Chiriquí'!F7+'Cuadro 6-Darién'!F7+'Cuadro 7-Herrera'!F7+'Cuadro 8-Los Santos'!F7+'Cuadro 9-Panamá'!F7+'Cuadro 10-Panamá Oeste'!F7+'Cuadro 11-Veraguas'!F7)*100,"")</f>
        <v>10.82222877269834</v>
      </c>
      <c r="F7" s="137">
        <f>IFERROR(('Cuadro 4-Colón'!F7)/('Cuadro 2-Bocas del Toro'!F7+'Cuadro 3-Coclé'!F7+'Cuadro 4-Colón'!F7+'Cuadro 5-Chiriquí'!F7+'Cuadro 6-Darién'!F7+'Cuadro 7-Herrera'!F7+'Cuadro 8-Los Santos'!F7+'Cuadro 9-Panamá'!F7+'Cuadro 10-Panamá Oeste'!F7+'Cuadro 11-Veraguas'!F7)*100,"")</f>
        <v>2.7391017231987234</v>
      </c>
      <c r="G7" s="137">
        <f>IFERROR(('Cuadro 5-Chiriquí'!F7)/('Cuadro 2-Bocas del Toro'!F7+'Cuadro 3-Coclé'!F7+'Cuadro 4-Colón'!F7+'Cuadro 5-Chiriquí'!F7+'Cuadro 6-Darién'!F7+'Cuadro 7-Herrera'!F7+'Cuadro 8-Los Santos'!F7+'Cuadro 9-Panamá'!F7+'Cuadro 10-Panamá Oeste'!F7+'Cuadro 11-Veraguas'!F7)*100,"")</f>
        <v>19.910944905227964</v>
      </c>
      <c r="H7" s="137">
        <f>IFERROR(('Cuadro 6-Darién'!F7)/('Cuadro 2-Bocas del Toro'!F7+'Cuadro 3-Coclé'!F7+'Cuadro 4-Colón'!F7+'Cuadro 5-Chiriquí'!F7+'Cuadro 6-Darién'!F7+'Cuadro 7-Herrera'!F7+'Cuadro 8-Los Santos'!F7+'Cuadro 9-Panamá'!F7+'Cuadro 10-Panamá Oeste'!F7+'Cuadro 11-Veraguas'!F7)*100,"")</f>
        <v>5.8254842484060161</v>
      </c>
      <c r="I7" s="137">
        <f>IFERROR(('Cuadro 7-Herrera'!F7)/('Cuadro 2-Bocas del Toro'!F7+'Cuadro 3-Coclé'!F7+'Cuadro 4-Colón'!F7+'Cuadro 5-Chiriquí'!F7+'Cuadro 6-Darién'!F7+'Cuadro 7-Herrera'!F7+'Cuadro 8-Los Santos'!F7+'Cuadro 9-Panamá'!F7+'Cuadro 10-Panamá Oeste'!F7+'Cuadro 11-Veraguas'!F7)*100,"")</f>
        <v>4.9555633028072554</v>
      </c>
      <c r="J7" s="137">
        <f>IFERROR(('Cuadro 8-Los Santos'!F7)/('Cuadro 2-Bocas del Toro'!F7+'Cuadro 3-Coclé'!F7+'Cuadro 4-Colón'!F7+'Cuadro 5-Chiriquí'!F7+'Cuadro 6-Darién'!F7+'Cuadro 7-Herrera'!F7+'Cuadro 8-Los Santos'!F7+'Cuadro 9-Panamá'!F7+'Cuadro 10-Panamá Oeste'!F7+'Cuadro 11-Veraguas'!F7)*100,"")</f>
        <v>11.522007904848747</v>
      </c>
      <c r="K7" s="137">
        <f>IFERROR(('Cuadro 9-Panamá'!F7)/('Cuadro 2-Bocas del Toro'!F7+'Cuadro 3-Coclé'!F7+'Cuadro 4-Colón'!F7+'Cuadro 5-Chiriquí'!F7+'Cuadro 6-Darién'!F7+'Cuadro 7-Herrera'!F7+'Cuadro 8-Los Santos'!F7+'Cuadro 9-Panamá'!F7+'Cuadro 10-Panamá Oeste'!F7+'Cuadro 11-Veraguas'!F7)*100,"")</f>
        <v>8.4912106750574523</v>
      </c>
      <c r="L7" s="138">
        <f>IFERROR(('Cuadro 10-Panamá Oeste'!F7)/('Cuadro 2-Bocas del Toro'!F7+'Cuadro 3-Coclé'!F7+'Cuadro 4-Colón'!F7+'Cuadro 5-Chiriquí'!F7+'Cuadro 6-Darién'!F7+'Cuadro 7-Herrera'!F7+'Cuadro 8-Los Santos'!F7+'Cuadro 9-Panamá'!F7+'Cuadro 10-Panamá Oeste'!F7+'Cuadro 11-Veraguas'!F7)*100,"")</f>
        <v>17.954323641424022</v>
      </c>
      <c r="M7" s="139">
        <f>IFERROR(('Cuadro 11-Veraguas'!F7)/('Cuadro 2-Bocas del Toro'!F7+'Cuadro 3-Coclé'!F7+'Cuadro 4-Colón'!F7+'Cuadro 5-Chiriquí'!F7+'Cuadro 6-Darién'!F7+'Cuadro 7-Herrera'!F7+'Cuadro 8-Los Santos'!F7+'Cuadro 9-Panamá'!F7+'Cuadro 10-Panamá Oeste'!F7+'Cuadro 11-Veraguas'!F7)*100,"")</f>
        <v>9.1379657727646446</v>
      </c>
      <c r="N7" s="58"/>
    </row>
    <row r="8" spans="1:15" ht="32.25" customHeight="1">
      <c r="A8" s="56" t="s">
        <v>1</v>
      </c>
      <c r="B8" s="60" t="s">
        <v>31</v>
      </c>
      <c r="C8" s="14">
        <f>IFERROR(('Cuadro 2-Bocas del Toro'!F8+'Cuadro 3-Coclé'!F8+'Cuadro 4-Colón'!F8+'Cuadro 5-Chiriquí'!F8+'Cuadro 6-Darién'!F8+'Cuadro 7-Herrera'!F8+'Cuadro 8-Los Santos'!F8+'Cuadro 9-Panamá'!F8+'Cuadro 10-Panamá Oeste'!F8+'Cuadro 11-Veraguas'!F8)/('Cuadro 2-Bocas del Toro'!F8+'Cuadro 3-Coclé'!F8+'Cuadro 4-Colón'!F8+'Cuadro 5-Chiriquí'!F8+'Cuadro 6-Darién'!F8+'Cuadro 7-Herrera'!F8+'Cuadro 8-Los Santos'!F8+'Cuadro 9-Panamá'!F8+'Cuadro 10-Panamá Oeste'!F8+'Cuadro 11-Veraguas'!F8)*100,"")</f>
        <v>100</v>
      </c>
      <c r="D8" s="14">
        <f>IFERROR(('Cuadro 2-Bocas del Toro'!F8)/('Cuadro 2-Bocas del Toro'!F8+'Cuadro 3-Coclé'!F8+'Cuadro 4-Colón'!F8+'Cuadro 5-Chiriquí'!F8+'Cuadro 6-Darién'!F8+'Cuadro 7-Herrera'!F8+'Cuadro 8-Los Santos'!F8+'Cuadro 9-Panamá'!F8+'Cuadro 10-Panamá Oeste'!F8+'Cuadro 11-Veraguas'!F8)*100,"")</f>
        <v>0.22534758525666779</v>
      </c>
      <c r="E8" s="14">
        <f>IFERROR(('Cuadro 3-Coclé'!F8)/('Cuadro 2-Bocas del Toro'!F8+'Cuadro 3-Coclé'!F8+'Cuadro 4-Colón'!F8+'Cuadro 5-Chiriquí'!F8+'Cuadro 6-Darién'!F8+'Cuadro 7-Herrera'!F8+'Cuadro 8-Los Santos'!F8+'Cuadro 9-Panamá'!F8+'Cuadro 10-Panamá Oeste'!F8+'Cuadro 11-Veraguas'!F8)*100,"")</f>
        <v>1.3146915150326985</v>
      </c>
      <c r="F8" s="14">
        <f>IFERROR(('Cuadro 4-Colón'!F8)/('Cuadro 2-Bocas del Toro'!F8+'Cuadro 3-Coclé'!F8+'Cuadro 4-Colón'!F8+'Cuadro 5-Chiriquí'!F8+'Cuadro 6-Darién'!F8+'Cuadro 7-Herrera'!F8+'Cuadro 8-Los Santos'!F8+'Cuadro 9-Panamá'!F8+'Cuadro 10-Panamá Oeste'!F8+'Cuadro 11-Veraguas'!F8)*100,"")</f>
        <v>82.375275243074256</v>
      </c>
      <c r="G8" s="14">
        <f>IFERROR(('Cuadro 5-Chiriquí'!F8)/('Cuadro 2-Bocas del Toro'!F8+'Cuadro 3-Coclé'!F8+'Cuadro 4-Colón'!F8+'Cuadro 5-Chiriquí'!F8+'Cuadro 6-Darién'!F8+'Cuadro 7-Herrera'!F8+'Cuadro 8-Los Santos'!F8+'Cuadro 9-Panamá'!F8+'Cuadro 10-Panamá Oeste'!F8+'Cuadro 11-Veraguas'!F8)*100,"")</f>
        <v>2.3265751500776788</v>
      </c>
      <c r="H8" s="14">
        <f>IFERROR(('Cuadro 6-Darién'!F8)/('Cuadro 2-Bocas del Toro'!F8+'Cuadro 3-Coclé'!F8+'Cuadro 4-Colón'!F8+'Cuadro 5-Chiriquí'!F8+'Cuadro 6-Darién'!F8+'Cuadro 7-Herrera'!F8+'Cuadro 8-Los Santos'!F8+'Cuadro 9-Panamá'!F8+'Cuadro 10-Panamá Oeste'!F8+'Cuadro 11-Veraguas'!F8)*100,"")</f>
        <v>1.0542083919079188E-2</v>
      </c>
      <c r="I8" s="14">
        <f>IFERROR(('Cuadro 7-Herrera'!F8)/('Cuadro 2-Bocas del Toro'!F8+'Cuadro 3-Coclé'!F8+'Cuadro 4-Colón'!F8+'Cuadro 5-Chiriquí'!F8+'Cuadro 6-Darién'!F8+'Cuadro 7-Herrera'!F8+'Cuadro 8-Los Santos'!F8+'Cuadro 9-Panamá'!F8+'Cuadro 10-Panamá Oeste'!F8+'Cuadro 11-Veraguas'!F8)*100,"")</f>
        <v>0.26847543973848392</v>
      </c>
      <c r="J8" s="14">
        <f>IFERROR(('Cuadro 8-Los Santos'!F8)/('Cuadro 2-Bocas del Toro'!F8+'Cuadro 3-Coclé'!F8+'Cuadro 4-Colón'!F8+'Cuadro 5-Chiriquí'!F8+'Cuadro 6-Darién'!F8+'Cuadro 7-Herrera'!F8+'Cuadro 8-Los Santos'!F8+'Cuadro 9-Panamá'!F8+'Cuadro 10-Panamá Oeste'!F8+'Cuadro 11-Veraguas'!F8)*100,"")</f>
        <v>0.50402129715744337</v>
      </c>
      <c r="K8" s="14">
        <f>IFERROR(('Cuadro 9-Panamá'!F8)/('Cuadro 2-Bocas del Toro'!F8+'Cuadro 3-Coclé'!F8+'Cuadro 4-Colón'!F8+'Cuadro 5-Chiriquí'!F8+'Cuadro 6-Darién'!F8+'Cuadro 7-Herrera'!F8+'Cuadro 8-Los Santos'!F8+'Cuadro 9-Panamá'!F8+'Cuadro 10-Panamá Oeste'!F8+'Cuadro 11-Veraguas'!F8)*100,"")</f>
        <v>8.9229254717952156</v>
      </c>
      <c r="L8" s="19">
        <f>IFERROR(('Cuadro 10-Panamá Oeste'!F8)/('Cuadro 2-Bocas del Toro'!F8+'Cuadro 3-Coclé'!F8+'Cuadro 4-Colón'!F8+'Cuadro 5-Chiriquí'!F8+'Cuadro 6-Darién'!F8+'Cuadro 7-Herrera'!F8+'Cuadro 8-Los Santos'!F8+'Cuadro 9-Panamá'!F8+'Cuadro 10-Panamá Oeste'!F8+'Cuadro 11-Veraguas'!F8)*100,"")</f>
        <v>3.312177046498531</v>
      </c>
      <c r="M8" s="106">
        <f>IFERROR(('Cuadro 11-Veraguas'!F8)/('Cuadro 2-Bocas del Toro'!F8+'Cuadro 3-Coclé'!F8+'Cuadro 4-Colón'!F8+'Cuadro 5-Chiriquí'!F8+'Cuadro 6-Darién'!F8+'Cuadro 7-Herrera'!F8+'Cuadro 8-Los Santos'!F8+'Cuadro 9-Panamá'!F8+'Cuadro 10-Panamá Oeste'!F8+'Cuadro 11-Veraguas'!F8)*100,"")</f>
        <v>0.73996916744995311</v>
      </c>
      <c r="N8" s="58"/>
    </row>
    <row r="9" spans="1:15" ht="32.25" customHeight="1">
      <c r="A9" s="56" t="s">
        <v>2</v>
      </c>
      <c r="B9" s="60" t="s">
        <v>3</v>
      </c>
      <c r="C9" s="14">
        <f>IFERROR(('Cuadro 2-Bocas del Toro'!F9+'Cuadro 3-Coclé'!F9+'Cuadro 4-Colón'!F9+'Cuadro 5-Chiriquí'!F9+'Cuadro 6-Darién'!F9+'Cuadro 7-Herrera'!F9+'Cuadro 8-Los Santos'!F9+'Cuadro 9-Panamá'!F9+'Cuadro 10-Panamá Oeste'!F9+'Cuadro 11-Veraguas'!F9)/('Cuadro 2-Bocas del Toro'!F9+'Cuadro 3-Coclé'!F9+'Cuadro 4-Colón'!F9+'Cuadro 5-Chiriquí'!F9+'Cuadro 6-Darién'!F9+'Cuadro 7-Herrera'!F9+'Cuadro 8-Los Santos'!F9+'Cuadro 9-Panamá'!F9+'Cuadro 10-Panamá Oeste'!F9+'Cuadro 11-Veraguas'!F9)*100,"")</f>
        <v>100</v>
      </c>
      <c r="D9" s="14">
        <f>IFERROR(('Cuadro 2-Bocas del Toro'!F9)/('Cuadro 2-Bocas del Toro'!F9+'Cuadro 3-Coclé'!F9+'Cuadro 4-Colón'!F9+'Cuadro 5-Chiriquí'!F9+'Cuadro 6-Darién'!F9+'Cuadro 7-Herrera'!F9+'Cuadro 8-Los Santos'!F9+'Cuadro 9-Panamá'!F9+'Cuadro 10-Panamá Oeste'!F9+'Cuadro 11-Veraguas'!F9)*100,"")</f>
        <v>1.7809360479959145E-2</v>
      </c>
      <c r="E9" s="14">
        <f>IFERROR(('Cuadro 3-Coclé'!F9)/('Cuadro 2-Bocas del Toro'!F9+'Cuadro 3-Coclé'!F9+'Cuadro 4-Colón'!F9+'Cuadro 5-Chiriquí'!F9+'Cuadro 6-Darién'!F9+'Cuadro 7-Herrera'!F9+'Cuadro 8-Los Santos'!F9+'Cuadro 9-Panamá'!F9+'Cuadro 10-Panamá Oeste'!F9+'Cuadro 11-Veraguas'!F9)*100,"")</f>
        <v>8.0138988159888243</v>
      </c>
      <c r="F9" s="14">
        <f>IFERROR(('Cuadro 4-Colón'!F9)/('Cuadro 2-Bocas del Toro'!F9+'Cuadro 3-Coclé'!F9+'Cuadro 4-Colón'!F9+'Cuadro 5-Chiriquí'!F9+'Cuadro 6-Darién'!F9+'Cuadro 7-Herrera'!F9+'Cuadro 8-Los Santos'!F9+'Cuadro 9-Panamá'!F9+'Cuadro 10-Panamá Oeste'!F9+'Cuadro 11-Veraguas'!F9)*100,"")</f>
        <v>2.2990060901035605</v>
      </c>
      <c r="G9" s="14">
        <f>IFERROR(('Cuadro 5-Chiriquí'!F9)/('Cuadro 2-Bocas del Toro'!F9+'Cuadro 3-Coclé'!F9+'Cuadro 4-Colón'!F9+'Cuadro 5-Chiriquí'!F9+'Cuadro 6-Darién'!F9+'Cuadro 7-Herrera'!F9+'Cuadro 8-Los Santos'!F9+'Cuadro 9-Panamá'!F9+'Cuadro 10-Panamá Oeste'!F9+'Cuadro 11-Veraguas'!F9)*100,"")</f>
        <v>5.6583742053109143</v>
      </c>
      <c r="H9" s="14">
        <f>IFERROR(('Cuadro 6-Darién'!F9)/('Cuadro 2-Bocas del Toro'!F9+'Cuadro 3-Coclé'!F9+'Cuadro 4-Colón'!F9+'Cuadro 5-Chiriquí'!F9+'Cuadro 6-Darién'!F9+'Cuadro 7-Herrera'!F9+'Cuadro 8-Los Santos'!F9+'Cuadro 9-Panamá'!F9+'Cuadro 10-Panamá Oeste'!F9+'Cuadro 11-Veraguas'!F9)*100,"")</f>
        <v>1.5034660455670774E-2</v>
      </c>
      <c r="I9" s="14">
        <f>IFERROR(('Cuadro 7-Herrera'!F9)/('Cuadro 2-Bocas del Toro'!F9+'Cuadro 3-Coclé'!F9+'Cuadro 4-Colón'!F9+'Cuadro 5-Chiriquí'!F9+'Cuadro 6-Darién'!F9+'Cuadro 7-Herrera'!F9+'Cuadro 8-Los Santos'!F9+'Cuadro 9-Panamá'!F9+'Cuadro 10-Panamá Oeste'!F9+'Cuadro 11-Veraguas'!F9)*100,"")</f>
        <v>1.4164106415698363</v>
      </c>
      <c r="J9" s="14">
        <f>IFERROR(('Cuadro 8-Los Santos'!F9)/('Cuadro 2-Bocas del Toro'!F9+'Cuadro 3-Coclé'!F9+'Cuadro 4-Colón'!F9+'Cuadro 5-Chiriquí'!F9+'Cuadro 6-Darién'!F9+'Cuadro 7-Herrera'!F9+'Cuadro 8-Los Santos'!F9+'Cuadro 9-Panamá'!F9+'Cuadro 10-Panamá Oeste'!F9+'Cuadro 11-Veraguas'!F9)*100,"")</f>
        <v>0.26969242165801349</v>
      </c>
      <c r="K9" s="14">
        <f>IFERROR(('Cuadro 9-Panamá'!F9)/('Cuadro 2-Bocas del Toro'!F9+'Cuadro 3-Coclé'!F9+'Cuadro 4-Colón'!F9+'Cuadro 5-Chiriquí'!F9+'Cuadro 6-Darién'!F9+'Cuadro 7-Herrera'!F9+'Cuadro 8-Los Santos'!F9+'Cuadro 9-Panamá'!F9+'Cuadro 10-Panamá Oeste'!F9+'Cuadro 11-Veraguas'!F9)*100,"")</f>
        <v>61.669487952587922</v>
      </c>
      <c r="L9" s="19">
        <f>IFERROR(('Cuadro 10-Panamá Oeste'!F9)/('Cuadro 2-Bocas del Toro'!F9+'Cuadro 3-Coclé'!F9+'Cuadro 4-Colón'!F9+'Cuadro 5-Chiriquí'!F9+'Cuadro 6-Darién'!F9+'Cuadro 7-Herrera'!F9+'Cuadro 8-Los Santos'!F9+'Cuadro 9-Panamá'!F9+'Cuadro 10-Panamá Oeste'!F9+'Cuadro 11-Veraguas'!F9)*100,"")</f>
        <v>15.501933843928548</v>
      </c>
      <c r="M9" s="106">
        <f>IFERROR(('Cuadro 11-Veraguas'!F9)/('Cuadro 2-Bocas del Toro'!F9+'Cuadro 3-Coclé'!F9+'Cuadro 4-Colón'!F9+'Cuadro 5-Chiriquí'!F9+'Cuadro 6-Darién'!F9+'Cuadro 7-Herrera'!F9+'Cuadro 8-Los Santos'!F9+'Cuadro 9-Panamá'!F9+'Cuadro 10-Panamá Oeste'!F9+'Cuadro 11-Veraguas'!F9)*100,"")</f>
        <v>5.1383520079167431</v>
      </c>
      <c r="N9" s="47"/>
    </row>
    <row r="10" spans="1:15" ht="44.25" customHeight="1">
      <c r="A10" s="56" t="s">
        <v>68</v>
      </c>
      <c r="B10" s="60" t="s">
        <v>69</v>
      </c>
      <c r="C10" s="14">
        <f>IFERROR(('Cuadro 2-Bocas del Toro'!F10+'Cuadro 3-Coclé'!F10+'Cuadro 4-Colón'!F10+'Cuadro 5-Chiriquí'!F10+'Cuadro 6-Darién'!F10+'Cuadro 7-Herrera'!F10+'Cuadro 8-Los Santos'!F10+'Cuadro 9-Panamá'!F10+'Cuadro 10-Panamá Oeste'!F10+'Cuadro 11-Veraguas'!F10)/('Cuadro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100</v>
      </c>
      <c r="D10" s="14">
        <f>IFERROR(('Cuadro 2-Bocas del Toro'!F10)/('Cuadro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15.398013629368501</v>
      </c>
      <c r="E10" s="14">
        <f>IFERROR(('Cuadro 3-Coclé'!F10)/('Cuadro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6.7556858969246081</v>
      </c>
      <c r="F10" s="14">
        <f>IFERROR(('Cuadro 4-Colón'!F10)/('Cuadro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11.884362616188959</v>
      </c>
      <c r="G10" s="14">
        <f>IFERROR(('Cuadro 5-Chiriquí'!F10)/('Cuadro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28.56492692889459</v>
      </c>
      <c r="H10" s="14">
        <f>IFERROR(('Cuadro 6-Darién'!F10)/('Cuadro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0.13994155219221627</v>
      </c>
      <c r="I10" s="14">
        <f>IFERROR(('Cuadro 7-Herrera'!F10)/('Cuadro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2.1342494693447311</v>
      </c>
      <c r="J10" s="14">
        <f>IFERROR(('Cuadro 8-Los Santos'!F10)/('Cuadro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0.84080021130708404</v>
      </c>
      <c r="K10" s="14">
        <f>IFERROR(('Cuadro 9-Panamá'!F10)/('Cuadro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26.305447151036532</v>
      </c>
      <c r="L10" s="19">
        <f>IFERROR(('Cuadro 10-Panamá Oeste'!F10)/('Cuadro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6.3688383822101926</v>
      </c>
      <c r="M10" s="106">
        <f>IFERROR(('Cuadro 11-Veraguas'!F10)/('Cuadro 2-Bocas del Toro'!F10+'Cuadro 3-Coclé'!F10+'Cuadro 4-Colón'!F10+'Cuadro 5-Chiriquí'!F10+'Cuadro 6-Darién'!F10+'Cuadro 7-Herrera'!F10+'Cuadro 8-Los Santos'!F10+'Cuadro 9-Panamá'!F10+'Cuadro 10-Panamá Oeste'!F10+'Cuadro 11-Veraguas'!F10)*100,"")</f>
        <v>1.6077341625325969</v>
      </c>
      <c r="N10" s="47"/>
    </row>
    <row r="11" spans="1:15" ht="32.25" customHeight="1">
      <c r="A11" s="56" t="s">
        <v>4</v>
      </c>
      <c r="B11" s="60" t="s">
        <v>94</v>
      </c>
      <c r="C11" s="14">
        <f>IFERROR(('Cuadro 2-Bocas del Toro'!F11+'Cuadro 3-Coclé'!F11+'Cuadro 4-Colón'!F11+'Cuadro 5-Chiriquí'!F11+'Cuadro 6-Darién'!F11+'Cuadro 7-Herrera'!F11+'Cuadro 8-Los Santos'!F11+'Cuadro 9-Panamá'!F11+'Cuadro 10-Panamá Oeste'!F11+'Cuadro 11-Veraguas'!F11)/('Cuadro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100</v>
      </c>
      <c r="D11" s="14">
        <f>IFERROR(('Cuadro 2-Bocas del Toro'!F11)/('Cuadro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0.84879090635055432</v>
      </c>
      <c r="E11" s="14">
        <f>IFERROR(('Cuadro 3-Coclé'!F11)/('Cuadro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4.945576869575528</v>
      </c>
      <c r="F11" s="14">
        <f>IFERROR(('Cuadro 4-Colón'!F11)/('Cuadro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15.399564338939623</v>
      </c>
      <c r="G11" s="14">
        <f>IFERROR(('Cuadro 5-Chiriquí'!F11)/('Cuadro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8.7632438043561347</v>
      </c>
      <c r="H11" s="14">
        <f>IFERROR(('Cuadro 6-Darién'!F11)/('Cuadro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3.9707658523640936E-2</v>
      </c>
      <c r="I11" s="14">
        <f>IFERROR(('Cuadro 7-Herrera'!F11)/('Cuadro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1.0061934821756038</v>
      </c>
      <c r="J11" s="14">
        <f>IFERROR(('Cuadro 8-Los Santos'!F11)/('Cuadro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1.7906285694710984</v>
      </c>
      <c r="K11" s="14">
        <f>IFERROR(('Cuadro 9-Panamá'!F11)/('Cuadro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48.988912196907883</v>
      </c>
      <c r="L11" s="19">
        <f>IFERROR(('Cuadro 10-Panamá Oeste'!F11)/('Cuadro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15.430225170903848</v>
      </c>
      <c r="M11" s="106">
        <f>IFERROR(('Cuadro 11-Veraguas'!F11)/('Cuadro 2-Bocas del Toro'!F11+'Cuadro 3-Coclé'!F11+'Cuadro 4-Colón'!F11+'Cuadro 5-Chiriquí'!F11+'Cuadro 6-Darién'!F11+'Cuadro 7-Herrera'!F11+'Cuadro 8-Los Santos'!F11+'Cuadro 9-Panamá'!F11+'Cuadro 10-Panamá Oeste'!F11+'Cuadro 11-Veraguas'!F11)*100,"")</f>
        <v>2.7871570027960915</v>
      </c>
      <c r="N11" s="47"/>
    </row>
    <row r="12" spans="1:15" ht="41.25" customHeight="1">
      <c r="A12" s="56" t="s">
        <v>5</v>
      </c>
      <c r="B12" s="60" t="s">
        <v>54</v>
      </c>
      <c r="C12" s="14">
        <f>IFERROR(('Cuadro 2-Bocas del Toro'!F12+'Cuadro 3-Coclé'!F12+'Cuadro 4-Colón'!F12+'Cuadro 5-Chiriquí'!F12+'Cuadro 6-Darién'!F12+'Cuadro 7-Herrera'!F12+'Cuadro 8-Los Santos'!F12+'Cuadro 9-Panamá'!F12+'Cuadro 10-Panamá Oeste'!F12+'Cuadro 11-Veraguas'!F12)/('Cuadro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100</v>
      </c>
      <c r="D12" s="14">
        <f>IFERROR(('Cuadro 2-Bocas del Toro'!F12)/('Cuadro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0.15158368925532009</v>
      </c>
      <c r="E12" s="14">
        <f>IFERROR(('Cuadro 3-Coclé'!F12)/('Cuadro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1.2819713665642791</v>
      </c>
      <c r="F12" s="14">
        <f>IFERROR(('Cuadro 4-Colón'!F12)/('Cuadro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27.016980602844821</v>
      </c>
      <c r="G12" s="14">
        <f>IFERROR(('Cuadro 5-Chiriquí'!F12)/('Cuadro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3.4318952882066633</v>
      </c>
      <c r="H12" s="14">
        <f>IFERROR(('Cuadro 6-Darién'!F12)/('Cuadro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1.2496201067022846E-2</v>
      </c>
      <c r="I12" s="14">
        <f>IFERROR(('Cuadro 7-Herrera'!F12)/('Cuadro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0.14630317320253591</v>
      </c>
      <c r="J12" s="14">
        <f>IFERROR(('Cuadro 8-Los Santos'!F12)/('Cuadro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0.16423819913794876</v>
      </c>
      <c r="K12" s="14">
        <f>IFERROR(('Cuadro 9-Panamá'!F12)/('Cuadro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65.164400720197094</v>
      </c>
      <c r="L12" s="19">
        <f>IFERROR(('Cuadro 10-Panamá Oeste'!F12)/('Cuadro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0.76756486285357883</v>
      </c>
      <c r="M12" s="106">
        <f>IFERROR(('Cuadro 11-Veraguas'!F12)/('Cuadro 2-Bocas del Toro'!F12+'Cuadro 3-Coclé'!F12+'Cuadro 4-Colón'!F12+'Cuadro 5-Chiriquí'!F12+'Cuadro 6-Darién'!F12+'Cuadro 7-Herrera'!F12+'Cuadro 8-Los Santos'!F12+'Cuadro 9-Panamá'!F12+'Cuadro 10-Panamá Oeste'!F12+'Cuadro 11-Veraguas'!F12)*100,"")</f>
        <v>1.8625658966707401</v>
      </c>
      <c r="N12" s="47"/>
    </row>
    <row r="13" spans="1:15" ht="32.25" customHeight="1">
      <c r="A13" s="56" t="s">
        <v>6</v>
      </c>
      <c r="B13" s="60" t="s">
        <v>55</v>
      </c>
      <c r="C13" s="14">
        <f>IFERROR(('Cuadro 2-Bocas del Toro'!F13+'Cuadro 3-Coclé'!F13+'Cuadro 4-Colón'!F13+'Cuadro 5-Chiriquí'!F13+'Cuadro 6-Darién'!F13+'Cuadro 7-Herrera'!F13+'Cuadro 8-Los Santos'!F13+'Cuadro 9-Panamá'!F13+'Cuadro 10-Panamá Oeste'!F13+'Cuadro 11-Veraguas'!F13)/('Cuadro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100</v>
      </c>
      <c r="D13" s="14">
        <f>IFERROR(('Cuadro 2-Bocas del Toro'!F13)/('Cuadro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0.935750994726121</v>
      </c>
      <c r="E13" s="14">
        <f>IFERROR(('Cuadro 3-Coclé'!F13)/('Cuadro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0.82075747853723435</v>
      </c>
      <c r="F13" s="14">
        <f>IFERROR(('Cuadro 4-Colón'!F13)/('Cuadro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29.385186765909623</v>
      </c>
      <c r="G13" s="14">
        <f>IFERROR(('Cuadro 5-Chiriquí'!F13)/('Cuadro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2.9219535640477625</v>
      </c>
      <c r="H13" s="14">
        <f>IFERROR(('Cuadro 6-Darién'!F13)/('Cuadro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5.723310994141099E-3</v>
      </c>
      <c r="I13" s="14">
        <f>IFERROR(('Cuadro 7-Herrera'!F13)/('Cuadro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0.5163252847576455</v>
      </c>
      <c r="J13" s="14">
        <f>IFERROR(('Cuadro 8-Los Santos'!F13)/('Cuadro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0.40548350773914799</v>
      </c>
      <c r="K13" s="14">
        <f>IFERROR(('Cuadro 9-Panamá'!F13)/('Cuadro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46.514819409092425</v>
      </c>
      <c r="L13" s="19">
        <f>IFERROR(('Cuadro 10-Panamá Oeste'!F13)/('Cuadro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17.375246572659726</v>
      </c>
      <c r="M13" s="106">
        <f>IFERROR(('Cuadro 11-Veraguas'!F13)/('Cuadro 2-Bocas del Toro'!F13+'Cuadro 3-Coclé'!F13+'Cuadro 4-Colón'!F13+'Cuadro 5-Chiriquí'!F13+'Cuadro 6-Darién'!F13+'Cuadro 7-Herrera'!F13+'Cuadro 8-Los Santos'!F13+'Cuadro 9-Panamá'!F13+'Cuadro 10-Panamá Oeste'!F13+'Cuadro 11-Veraguas'!F13)*100,"")</f>
        <v>1.1187531115361722</v>
      </c>
      <c r="N13" s="47"/>
    </row>
    <row r="14" spans="1:15" ht="32.25" customHeight="1">
      <c r="A14" s="56" t="s">
        <v>7</v>
      </c>
      <c r="B14" s="60" t="s">
        <v>32</v>
      </c>
      <c r="C14" s="14">
        <f>IFERROR(('Cuadro 2-Bocas del Toro'!F14+'Cuadro 3-Coclé'!F14+'Cuadro 4-Colón'!F14+'Cuadro 5-Chiriquí'!F14+'Cuadro 6-Darién'!F14+'Cuadro 7-Herrera'!F14+'Cuadro 8-Los Santos'!F14+'Cuadro 9-Panamá'!F14+'Cuadro 10-Panamá Oeste'!F14+'Cuadro 11-Veraguas'!F14)/('Cuadro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100</v>
      </c>
      <c r="D14" s="14">
        <f>IFERROR(('Cuadro 2-Bocas del Toro'!F14)/('Cuadro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0.46928637868628009</v>
      </c>
      <c r="E14" s="14">
        <f>IFERROR(('Cuadro 3-Coclé'!F14)/('Cuadro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5.6328910431007291</v>
      </c>
      <c r="F14" s="14">
        <f>IFERROR(('Cuadro 4-Colón'!F14)/('Cuadro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3.1688508478361022</v>
      </c>
      <c r="G14" s="14">
        <f>IFERROR(('Cuadro 5-Chiriquí'!F14)/('Cuadro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0.98948839498404217</v>
      </c>
      <c r="H14" s="14">
        <f>IFERROR(('Cuadro 6-Darién'!F14)/('Cuadro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4.3174346839137756E-3</v>
      </c>
      <c r="I14" s="14">
        <f>IFERROR(('Cuadro 7-Herrera'!F14)/('Cuadro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0.53852845042758024</v>
      </c>
      <c r="J14" s="14">
        <f>IFERROR(('Cuadro 8-Los Santos'!F14)/('Cuadro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0.55532326402097953</v>
      </c>
      <c r="K14" s="14">
        <f>IFERROR(('Cuadro 9-Panamá'!F14)/('Cuadro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82.595824190118321</v>
      </c>
      <c r="L14" s="19">
        <f>IFERROR(('Cuadro 10-Panamá Oeste'!F14)/('Cuadro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2.7136267166256904</v>
      </c>
      <c r="M14" s="106">
        <f>IFERROR(('Cuadro 11-Veraguas'!F14)/('Cuadro 2-Bocas del Toro'!F14+'Cuadro 3-Coclé'!F14+'Cuadro 4-Colón'!F14+'Cuadro 5-Chiriquí'!F14+'Cuadro 6-Darién'!F14+'Cuadro 7-Herrera'!F14+'Cuadro 8-Los Santos'!F14+'Cuadro 9-Panamá'!F14+'Cuadro 10-Panamá Oeste'!F14+'Cuadro 11-Veraguas'!F14)*100,"")</f>
        <v>3.3318632795163645</v>
      </c>
      <c r="N14" s="47"/>
    </row>
    <row r="15" spans="1:15" ht="32.25" customHeight="1">
      <c r="A15" s="56" t="s">
        <v>8</v>
      </c>
      <c r="B15" s="60" t="s">
        <v>56</v>
      </c>
      <c r="C15" s="14">
        <f>IFERROR(('Cuadro 2-Bocas del Toro'!F15+'Cuadro 3-Coclé'!F15+'Cuadro 4-Colón'!F15+'Cuadro 5-Chiriquí'!F15+'Cuadro 6-Darién'!F15+'Cuadro 7-Herrera'!F15+'Cuadro 8-Los Santos'!F15+'Cuadro 9-Panamá'!F15+'Cuadro 10-Panamá Oeste'!F15+'Cuadro 11-Veraguas'!F15)/('Cuadro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100</v>
      </c>
      <c r="D15" s="14">
        <f>IFERROR(('Cuadro 2-Bocas del Toro'!F15)/('Cuadro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4.2638157460934005</v>
      </c>
      <c r="E15" s="14">
        <f>IFERROR(('Cuadro 3-Coclé'!F15)/('Cuadro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6.1955924808514586</v>
      </c>
      <c r="F15" s="14">
        <f>IFERROR(('Cuadro 4-Colón'!F15)/('Cuadro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8.0932935491858515</v>
      </c>
      <c r="G15" s="14">
        <f>IFERROR(('Cuadro 5-Chiriquí'!F15)/('Cuadro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16.077627964732841</v>
      </c>
      <c r="H15" s="14">
        <f>IFERROR(('Cuadro 6-Darién'!F15)/('Cuadro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1.6549984022708499</v>
      </c>
      <c r="I15" s="14">
        <f>IFERROR(('Cuadro 7-Herrera'!F15)/('Cuadro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2.7445897386594655</v>
      </c>
      <c r="J15" s="14">
        <f>IFERROR(('Cuadro 8-Los Santos'!F15)/('Cuadro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2.2031831929037771</v>
      </c>
      <c r="K15" s="14">
        <f>IFERROR(('Cuadro 9-Panamá'!F15)/('Cuadro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38.822123522623876</v>
      </c>
      <c r="L15" s="19">
        <f>IFERROR(('Cuadro 10-Panamá Oeste'!F15)/('Cuadro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14.205354191014186</v>
      </c>
      <c r="M15" s="106">
        <f>IFERROR(('Cuadro 11-Veraguas'!F15)/('Cuadro 2-Bocas del Toro'!F15+'Cuadro 3-Coclé'!F15+'Cuadro 4-Colón'!F15+'Cuadro 5-Chiriquí'!F15+'Cuadro 6-Darién'!F15+'Cuadro 7-Herrera'!F15+'Cuadro 8-Los Santos'!F15+'Cuadro 9-Panamá'!F15+'Cuadro 10-Panamá Oeste'!F15+'Cuadro 11-Veraguas'!F15)*100,"")</f>
        <v>5.7394212116642986</v>
      </c>
      <c r="N15" s="47"/>
    </row>
    <row r="16" spans="1:15" ht="32.25" customHeight="1">
      <c r="A16" s="56" t="s">
        <v>9</v>
      </c>
      <c r="B16" s="60" t="s">
        <v>57</v>
      </c>
      <c r="C16" s="14">
        <f>IFERROR(('Cuadro 2-Bocas del Toro'!F16+'Cuadro 3-Coclé'!F16+'Cuadro 4-Colón'!F16+'Cuadro 5-Chiriquí'!F16+'Cuadro 6-Darién'!F16+'Cuadro 7-Herrera'!F16+'Cuadro 8-Los Santos'!F16+'Cuadro 9-Panamá'!F16+'Cuadro 10-Panamá Oeste'!F16+'Cuadro 11-Veraguas'!F16)/('Cuadro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100</v>
      </c>
      <c r="D16" s="14">
        <f>IFERROR(('Cuadro 2-Bocas del Toro'!F16)/('Cuadro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0.36851733983096419</v>
      </c>
      <c r="E16" s="14">
        <f>IFERROR(('Cuadro 3-Coclé'!F16)/('Cuadro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1.2359984153772181</v>
      </c>
      <c r="F16" s="14">
        <f>IFERROR(('Cuadro 4-Colón'!F16)/('Cuadro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3.4396895189829175</v>
      </c>
      <c r="G16" s="14">
        <f>IFERROR(('Cuadro 5-Chiriquí'!F16)/('Cuadro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4.1700383976188737</v>
      </c>
      <c r="H16" s="14">
        <f>IFERROR(('Cuadro 6-Darién'!F16)/('Cuadro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9.5708116248612252E-2</v>
      </c>
      <c r="I16" s="14">
        <f>IFERROR(('Cuadro 7-Herrera'!F16)/('Cuadro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1.1964387568838311</v>
      </c>
      <c r="J16" s="14">
        <f>IFERROR(('Cuadro 8-Los Santos'!F16)/('Cuadro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0.69304904390970945</v>
      </c>
      <c r="K16" s="14">
        <f>IFERROR(('Cuadro 9-Panamá'!F16)/('Cuadro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85.429614611599717</v>
      </c>
      <c r="L16" s="19">
        <f>IFERROR(('Cuadro 10-Panamá Oeste'!F16)/('Cuadro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1.5963491842899449</v>
      </c>
      <c r="M16" s="106">
        <f>IFERROR(('Cuadro 11-Veraguas'!F16)/('Cuadro 2-Bocas del Toro'!F16+'Cuadro 3-Coclé'!F16+'Cuadro 4-Colón'!F16+'Cuadro 5-Chiriquí'!F16+'Cuadro 6-Darién'!F16+'Cuadro 7-Herrera'!F16+'Cuadro 8-Los Santos'!F16+'Cuadro 9-Panamá'!F16+'Cuadro 10-Panamá Oeste'!F16+'Cuadro 11-Veraguas'!F16)*100,"")</f>
        <v>1.7745966152582047</v>
      </c>
      <c r="N16" s="47"/>
    </row>
    <row r="17" spans="1:14" ht="32.25" customHeight="1">
      <c r="A17" s="56" t="s">
        <v>70</v>
      </c>
      <c r="B17" s="60" t="s">
        <v>95</v>
      </c>
      <c r="C17" s="14">
        <f>IFERROR(('Cuadro 2-Bocas del Toro'!F17+'Cuadro 3-Coclé'!F17+'Cuadro 4-Colón'!F17+'Cuadro 5-Chiriquí'!F17+'Cuadro 6-Darién'!F17+'Cuadro 7-Herrera'!F17+'Cuadro 8-Los Santos'!F17+'Cuadro 9-Panamá'!F17+'Cuadro 10-Panamá Oeste'!F17+'Cuadro 11-Veraguas'!F17)/('Cuadro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100</v>
      </c>
      <c r="D17" s="14">
        <f>IFERROR(('Cuadro 2-Bocas del Toro'!F17)/('Cuadro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0.74883400646111486</v>
      </c>
      <c r="E17" s="14">
        <f>IFERROR(('Cuadro 3-Coclé'!F17)/('Cuadro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1.5715425370451945</v>
      </c>
      <c r="F17" s="14">
        <f>IFERROR(('Cuadro 4-Colón'!F17)/('Cuadro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2.2522184311166322</v>
      </c>
      <c r="G17" s="14">
        <f>IFERROR(('Cuadro 5-Chiriquí'!F17)/('Cuadro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3.7093754483882031</v>
      </c>
      <c r="H17" s="14">
        <f>IFERROR(('Cuadro 6-Darién'!F17)/('Cuadro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0.19078757295911922</v>
      </c>
      <c r="I17" s="14">
        <f>IFERROR(('Cuadro 7-Herrera'!F17)/('Cuadro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0.80860179491010542</v>
      </c>
      <c r="J17" s="14">
        <f>IFERROR(('Cuadro 8-Los Santos'!F17)/('Cuadro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0.67628112761254</v>
      </c>
      <c r="K17" s="14">
        <f>IFERROR(('Cuadro 9-Panamá'!F17)/('Cuadro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77.510378463615126</v>
      </c>
      <c r="L17" s="19">
        <f>IFERROR(('Cuadro 10-Panamá Oeste'!F17)/('Cuadro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11.763548855148652</v>
      </c>
      <c r="M17" s="106">
        <f>IFERROR(('Cuadro 11-Veraguas'!F17)/('Cuadro 2-Bocas del Toro'!F17+'Cuadro 3-Coclé'!F17+'Cuadro 4-Colón'!F17+'Cuadro 5-Chiriquí'!F17+'Cuadro 6-Darién'!F17+'Cuadro 7-Herrera'!F17+'Cuadro 8-Los Santos'!F17+'Cuadro 9-Panamá'!F17+'Cuadro 10-Panamá Oeste'!F17+'Cuadro 11-Veraguas'!F17)*100,"")</f>
        <v>0.76843176274330605</v>
      </c>
      <c r="N17" s="47"/>
    </row>
    <row r="18" spans="1:14" ht="32.25" customHeight="1">
      <c r="A18" s="56" t="s">
        <v>10</v>
      </c>
      <c r="B18" s="60" t="s">
        <v>58</v>
      </c>
      <c r="C18" s="14">
        <f>IFERROR(('Cuadro 2-Bocas del Toro'!F18+'Cuadro 3-Coclé'!F18+'Cuadro 4-Colón'!F18+'Cuadro 5-Chiriquí'!F18+'Cuadro 6-Darién'!F18+'Cuadro 7-Herrera'!F18+'Cuadro 8-Los Santos'!F18+'Cuadro 9-Panamá'!F18+'Cuadro 10-Panamá Oeste'!F18+'Cuadro 11-Veraguas'!F18)/('Cuadro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100</v>
      </c>
      <c r="D18" s="14">
        <f>IFERROR(('Cuadro 2-Bocas del Toro'!F18)/('Cuadro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9.5013730623919088E-2</v>
      </c>
      <c r="E18" s="14">
        <f>IFERROR(('Cuadro 3-Coclé'!F18)/('Cuadro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0.44423735189293712</v>
      </c>
      <c r="F18" s="14">
        <f>IFERROR(('Cuadro 4-Colón'!F18)/('Cuadro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1.3664653927536579</v>
      </c>
      <c r="G18" s="14">
        <f>IFERROR(('Cuadro 5-Chiriquí'!F18)/('Cuadro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3.8799779191342862</v>
      </c>
      <c r="H18" s="14">
        <f>IFERROR(('Cuadro 6-Darién'!F18)/('Cuadro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9.0575373409371496E-2</v>
      </c>
      <c r="I18" s="14">
        <f>IFERROR(('Cuadro 7-Herrera'!F18)/('Cuadro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0.49917239691788146</v>
      </c>
      <c r="J18" s="14">
        <f>IFERROR(('Cuadro 8-Los Santos'!F18)/('Cuadro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0.12356845827158691</v>
      </c>
      <c r="K18" s="14">
        <f>IFERROR(('Cuadro 9-Panamá'!F18)/('Cuadro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86.889527844518042</v>
      </c>
      <c r="L18" s="19">
        <f>IFERROR(('Cuadro 10-Panamá Oeste'!F18)/('Cuadro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6.0845469378505053</v>
      </c>
      <c r="M18" s="106">
        <f>IFERROR(('Cuadro 11-Veraguas'!F18)/('Cuadro 2-Bocas del Toro'!F18+'Cuadro 3-Coclé'!F18+'Cuadro 4-Colón'!F18+'Cuadro 5-Chiriquí'!F18+'Cuadro 6-Darién'!F18+'Cuadro 7-Herrera'!F18+'Cuadro 8-Los Santos'!F18+'Cuadro 9-Panamá'!F18+'Cuadro 10-Panamá Oeste'!F18+'Cuadro 11-Veraguas'!F18)*100,"")</f>
        <v>0.52691459462779622</v>
      </c>
      <c r="N18" s="47"/>
    </row>
    <row r="19" spans="1:14" ht="32.25" customHeight="1">
      <c r="A19" s="56" t="s">
        <v>59</v>
      </c>
      <c r="B19" s="60" t="s">
        <v>60</v>
      </c>
      <c r="C19" s="14">
        <f>IFERROR(('Cuadro 2-Bocas del Toro'!F19+'Cuadro 3-Coclé'!F19+'Cuadro 4-Colón'!F19+'Cuadro 5-Chiriquí'!F19+'Cuadro 6-Darién'!F19+'Cuadro 7-Herrera'!F19+'Cuadro 8-Los Santos'!F19+'Cuadro 9-Panamá'!F19+'Cuadro 10-Panamá Oeste'!F19+'Cuadro 11-Veraguas'!F19)/('Cuadro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100</v>
      </c>
      <c r="D19" s="14">
        <f>IFERROR(('Cuadro 2-Bocas del Toro'!F19)/('Cuadro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7.2915527335721264E-3</v>
      </c>
      <c r="E19" s="14">
        <f>IFERROR(('Cuadro 3-Coclé'!F19)/('Cuadro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6.4259531224219277E-2</v>
      </c>
      <c r="F19" s="14">
        <f>IFERROR(('Cuadro 4-Colón'!F19)/('Cuadro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0.2717599825766745</v>
      </c>
      <c r="G19" s="14">
        <f>IFERROR(('Cuadro 5-Chiriquí'!F19)/('Cuadro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4.140752839679525</v>
      </c>
      <c r="H19" s="14">
        <f>IFERROR(('Cuadro 6-Darién'!F19)/('Cuadro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6.9077868002262264E-3</v>
      </c>
      <c r="I19" s="14">
        <f>IFERROR(('Cuadro 7-Herrera'!F19)/('Cuadro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0.59578303749145567</v>
      </c>
      <c r="J19" s="14">
        <f>IFERROR(('Cuadro 8-Los Santos'!F19)/('Cuadro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7.675318666918029E-3</v>
      </c>
      <c r="K19" s="14">
        <f>IFERROR(('Cuadro 9-Panamá'!F19)/('Cuadro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93.629637365938677</v>
      </c>
      <c r="L19" s="19">
        <f>IFERROR(('Cuadro 10-Panamá Oeste'!F19)/('Cuadro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1.1357303400242733</v>
      </c>
      <c r="M19" s="106">
        <f>IFERROR(('Cuadro 11-Veraguas'!F19)/('Cuadro 2-Bocas del Toro'!F19+'Cuadro 3-Coclé'!F19+'Cuadro 4-Colón'!F19+'Cuadro 5-Chiriquí'!F19+'Cuadro 6-Darién'!F19+'Cuadro 7-Herrera'!F19+'Cuadro 8-Los Santos'!F19+'Cuadro 9-Panamá'!F19+'Cuadro 10-Panamá Oeste'!F19+'Cuadro 11-Veraguas'!F19)*100,"")</f>
        <v>0.14020224486446642</v>
      </c>
      <c r="N19" s="47"/>
    </row>
    <row r="20" spans="1:14" ht="32.25" customHeight="1">
      <c r="A20" s="56" t="s">
        <v>66</v>
      </c>
      <c r="B20" s="60" t="s">
        <v>67</v>
      </c>
      <c r="C20" s="14">
        <f>IFERROR(('Cuadro 2-Bocas del Toro'!F20+'Cuadro 3-Coclé'!F20+'Cuadro 4-Colón'!F20+'Cuadro 5-Chiriquí'!F20+'Cuadro 6-Darién'!F20+'Cuadro 7-Herrera'!F20+'Cuadro 8-Los Santos'!F20+'Cuadro 9-Panamá'!F20+'Cuadro 10-Panamá Oeste'!F20+'Cuadro 11-Veraguas'!F20)/('Cuadro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100</v>
      </c>
      <c r="D20" s="14">
        <f>IFERROR(('Cuadro 2-Bocas del Toro'!F20)/('Cuadro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0.1310845322083326</v>
      </c>
      <c r="E20" s="14">
        <f>IFERROR(('Cuadro 3-Coclé'!F20)/('Cuadro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0.14191730754563583</v>
      </c>
      <c r="F20" s="14">
        <f>IFERROR(('Cuadro 4-Colón'!F20)/('Cuadro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5.7187685193025226</v>
      </c>
      <c r="G20" s="14">
        <f>IFERROR(('Cuadro 5-Chiriquí'!F20)/('Cuadro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0.33885258888046221</v>
      </c>
      <c r="H20" s="14">
        <f>IFERROR(('Cuadro 6-Darién'!F20)/('Cuadro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1.8762772669227402E-3</v>
      </c>
      <c r="I20" s="14">
        <f>IFERROR(('Cuadro 7-Herrera'!F20)/('Cuadro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8.5437762950814455E-2</v>
      </c>
      <c r="J20" s="14">
        <f>IFERROR(('Cuadro 8-Los Santos'!F20)/('Cuadro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9.9978848084290514E-2</v>
      </c>
      <c r="K20" s="14">
        <f>IFERROR(('Cuadro 9-Panamá'!F20)/('Cuadro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92.556004802050467</v>
      </c>
      <c r="L20" s="19">
        <f>IFERROR(('Cuadro 10-Panamá Oeste'!F20)/('Cuadro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0.17408759692102599</v>
      </c>
      <c r="M20" s="106">
        <f>IFERROR(('Cuadro 11-Veraguas'!F20)/('Cuadro 2-Bocas del Toro'!F20+'Cuadro 3-Coclé'!F20+'Cuadro 4-Colón'!F20+'Cuadro 5-Chiriquí'!F20+'Cuadro 6-Darién'!F20+'Cuadro 7-Herrera'!F20+'Cuadro 8-Los Santos'!F20+'Cuadro 9-Panamá'!F20+'Cuadro 10-Panamá Oeste'!F20+'Cuadro 11-Veraguas'!F20)*100,"")</f>
        <v>0.75199176478954921</v>
      </c>
      <c r="N20" s="47"/>
    </row>
    <row r="21" spans="1:14" ht="32.25" customHeight="1">
      <c r="A21" s="66" t="s">
        <v>61</v>
      </c>
      <c r="B21" s="67" t="s">
        <v>62</v>
      </c>
      <c r="C21" s="145">
        <f>IFERROR(('Cuadro 2-Bocas del Toro'!F21+'Cuadro 3-Coclé'!F21+'Cuadro 4-Colón'!F21+'Cuadro 5-Chiriquí'!F21+'Cuadro 6-Darién'!F21+'Cuadro 7-Herrera'!F21+'Cuadro 8-Los Santos'!F21+'Cuadro 9-Panamá'!F21+'Cuadro 10-Panamá Oeste'!F21+'Cuadro 11-Veraguas'!F21)/('Cuadro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100</v>
      </c>
      <c r="D21" s="145">
        <f>IFERROR(('Cuadro 2-Bocas del Toro'!F21)/('Cuadro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2.3999999999999995</v>
      </c>
      <c r="E21" s="145">
        <f>IFERROR(('Cuadro 3-Coclé'!F21)/('Cuadro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8.8978823529411759</v>
      </c>
      <c r="F21" s="145">
        <f>IFERROR(('Cuadro 4-Colón'!F21)/('Cuadro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2.6974117647058833</v>
      </c>
      <c r="G21" s="145">
        <f>IFERROR(('Cuadro 5-Chiriquí'!F21)/('Cuadro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12.321882352941174</v>
      </c>
      <c r="H21" s="145">
        <f>IFERROR(('Cuadro 6-Darién'!F21)/('Cuadro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0.93176470588235294</v>
      </c>
      <c r="I21" s="145">
        <f>IFERROR(('Cuadro 7-Herrera'!F21)/('Cuadro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3.6197647058823517</v>
      </c>
      <c r="J21" s="145">
        <f>IFERROR(('Cuadro 8-Los Santos'!F21)/('Cuadro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2.742588235294118</v>
      </c>
      <c r="K21" s="145">
        <f>IFERROR(('Cuadro 9-Panamá'!F21)/('Cuadro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40.939294117647066</v>
      </c>
      <c r="L21" s="132">
        <f>IFERROR(('Cuadro 10-Panamá Oeste'!F21)/('Cuadro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18.296470588235291</v>
      </c>
      <c r="M21" s="117">
        <f>IFERROR(('Cuadro 11-Veraguas'!F21)/('Cuadro 2-Bocas del Toro'!F21+'Cuadro 3-Coclé'!F21+'Cuadro 4-Colón'!F21+'Cuadro 5-Chiriquí'!F21+'Cuadro 6-Darién'!F21+'Cuadro 7-Herrera'!F21+'Cuadro 8-Los Santos'!F21+'Cuadro 9-Panamá'!F21+'Cuadro 10-Panamá Oeste'!F21+'Cuadro 11-Veraguas'!F21)*100,"")</f>
        <v>7.1529411764705859</v>
      </c>
      <c r="N21" s="47"/>
    </row>
    <row r="22" spans="1:14" ht="32.25" customHeight="1">
      <c r="A22" s="25"/>
      <c r="B22" s="22" t="s">
        <v>93</v>
      </c>
      <c r="C22" s="145">
        <f>IFERROR(('Cuadro 2-Bocas del Toro'!F22+'Cuadro 3-Coclé'!F22+'Cuadro 4-Colón'!F22+'Cuadro 5-Chiriquí'!F22+'Cuadro 6-Darién'!F22+'Cuadro 7-Herrera'!F22+'Cuadro 8-Los Santos'!F22+'Cuadro 9-Panamá'!F22+'Cuadro 10-Panamá Oeste'!F22+'Cuadro 11-Veraguas'!F22)/('Cuadro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100</v>
      </c>
      <c r="D22" s="145">
        <f>IFERROR(('Cuadro 2-Bocas del Toro'!F22)/('Cuadro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4.0140144469916512</v>
      </c>
      <c r="E22" s="145">
        <f>IFERROR(('Cuadro 3-Coclé'!F22)/('Cuadro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5.3026648078337146</v>
      </c>
      <c r="F22" s="145">
        <f>IFERROR(('Cuadro 4-Colón'!F22)/('Cuadro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6.3866882717178992</v>
      </c>
      <c r="G22" s="145">
        <f>IFERROR(('Cuadro 5-Chiriquí'!F22)/('Cuadro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10.712733782070687</v>
      </c>
      <c r="H22" s="145">
        <f>IFERROR(('Cuadro 6-Darién'!F22)/('Cuadro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1.3195939403820367</v>
      </c>
      <c r="I22" s="145">
        <f>IFERROR(('Cuadro 7-Herrera'!F22)/('Cuadro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3.7504949309093081</v>
      </c>
      <c r="J22" s="145">
        <f>IFERROR(('Cuadro 8-Los Santos'!F22)/('Cuadro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3.0550962079142376</v>
      </c>
      <c r="K22" s="145">
        <f>IFERROR(('Cuadro 9-Panamá'!F22)/('Cuadro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41.241802446871873</v>
      </c>
      <c r="L22" s="132">
        <f>IFERROR(('Cuadro 10-Panamá Oeste'!F22)/('Cuadro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16.544833254033474</v>
      </c>
      <c r="M22" s="117">
        <f>IFERROR(('Cuadro 11-Veraguas'!F22)/('Cuadro 2-Bocas del Toro'!F22+'Cuadro 3-Coclé'!F22+'Cuadro 4-Colón'!F22+'Cuadro 5-Chiriquí'!F22+'Cuadro 6-Darién'!F22+'Cuadro 7-Herrera'!F22+'Cuadro 8-Los Santos'!F22+'Cuadro 9-Panamá'!F22+'Cuadro 10-Panamá Oeste'!F22+'Cuadro 11-Veraguas'!F22)*100,"")</f>
        <v>7.6720779112751085</v>
      </c>
      <c r="N22" s="47"/>
    </row>
    <row r="23" spans="1:14" s="36" customFormat="1" ht="32.25" customHeight="1">
      <c r="A23" s="34"/>
      <c r="B23" s="27" t="s">
        <v>33</v>
      </c>
      <c r="C23" s="146">
        <f>IFERROR(('Cuadro 2-Bocas del Toro'!F23+'Cuadro 3-Coclé'!F23+'Cuadro 4-Colón'!F23+'Cuadro 5-Chiriquí'!F23+'Cuadro 6-Darién'!F23+'Cuadro 7-Herrera'!F23+'Cuadro 8-Los Santos'!F23+'Cuadro 9-Panamá'!F23+'Cuadro 10-Panamá Oeste'!F23+'Cuadro 11-Veraguas'!F23)/('Cuadro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100</v>
      </c>
      <c r="D23" s="146">
        <f>IFERROR(('Cuadro 2-Bocas del Toro'!F23)/('Cuadro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1.6151192826142409</v>
      </c>
      <c r="E23" s="146">
        <f>IFERROR(('Cuadro 3-Coclé'!F23)/('Cuadro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3.1820322152007363</v>
      </c>
      <c r="F23" s="146">
        <f>IFERROR(('Cuadro 4-Colón'!F23)/('Cuadro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16.279127706289298</v>
      </c>
      <c r="G23" s="146">
        <f>IFERROR(('Cuadro 5-Chiriquí'!F23)/('Cuadro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6.4755597978329389</v>
      </c>
      <c r="H23" s="146">
        <f>IFERROR(('Cuadro 6-Darién'!F23)/('Cuadro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0.40835420237921138</v>
      </c>
      <c r="I23" s="146">
        <f>IFERROR(('Cuadro 7-Herrera'!F23)/('Cuadro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1.2342892574675397</v>
      </c>
      <c r="J23" s="146">
        <f>IFERROR(('Cuadro 8-Los Santos'!F23)/('Cuadro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1.2760137351175977</v>
      </c>
      <c r="K23" s="146">
        <f>IFERROR(('Cuadro 9-Panamá'!F23)/('Cuadro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56.582784302290115</v>
      </c>
      <c r="L23" s="144">
        <f>IFERROR(('Cuadro 10-Panamá Oeste'!F23)/('Cuadro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10.149086801136493</v>
      </c>
      <c r="M23" s="129">
        <f>IFERROR(('Cuadro 11-Veraguas'!F23)/('Cuadro 2-Bocas del Toro'!F23+'Cuadro 3-Coclé'!F23+'Cuadro 4-Colón'!F23+'Cuadro 5-Chiriquí'!F23+'Cuadro 6-Darién'!F23+'Cuadro 7-Herrera'!F23+'Cuadro 8-Los Santos'!F23+'Cuadro 9-Panamá'!F23+'Cuadro 10-Panamá Oeste'!F23+'Cuadro 11-Veraguas'!F23)*100,"")</f>
        <v>2.7976326996718237</v>
      </c>
      <c r="N23" s="47"/>
    </row>
    <row r="24" spans="1:14" ht="32.25" customHeight="1">
      <c r="A24" s="21" t="s">
        <v>25</v>
      </c>
      <c r="B24" s="37" t="s">
        <v>34</v>
      </c>
      <c r="C24" s="145">
        <f>IFERROR(('Cuadro 2-Bocas del Toro'!F24+'Cuadro 3-Coclé'!F24+'Cuadro 4-Colón'!F24+'Cuadro 5-Chiriquí'!F24+'Cuadro 6-Darién'!F24+'Cuadro 7-Herrera'!F24+'Cuadro 8-Los Santos'!F24+'Cuadro 9-Panamá'!F24+'Cuadro 10-Panamá Oeste'!F24+'Cuadro 11-Veraguas'!F24)/('Cuadro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100</v>
      </c>
      <c r="D24" s="145">
        <f>IFERROR(('Cuadro 2-Bocas del Toro'!F24)/('Cuadro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1.7589539827981868</v>
      </c>
      <c r="E24" s="145">
        <f>IFERROR(('Cuadro 3-Coclé'!F24)/('Cuadro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3.1069963957182751</v>
      </c>
      <c r="F24" s="145">
        <f>IFERROR(('Cuadro 4-Colón'!F24)/('Cuadro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8.5703716745169682</v>
      </c>
      <c r="G24" s="145">
        <f>IFERROR(('Cuadro 5-Chiriquí'!F24)/('Cuadro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7.9050059166024544</v>
      </c>
      <c r="H24" s="145">
        <f>IFERROR(('Cuadro 6-Darién'!F24)/('Cuadro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0.3028904849835149</v>
      </c>
      <c r="I24" s="145">
        <f>IFERROR(('Cuadro 7-Herrera'!F24)/('Cuadro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2.0087412498739226</v>
      </c>
      <c r="J24" s="145">
        <f>IFERROR(('Cuadro 8-Los Santos'!F24)/('Cuadro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1.3367141887802914</v>
      </c>
      <c r="K24" s="145">
        <f>IFERROR(('Cuadro 9-Panamá'!F24)/('Cuadro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57.966690305066329</v>
      </c>
      <c r="L24" s="132">
        <f>IFERROR(('Cuadro 10-Panamá Oeste'!F24)/('Cuadro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14.04441575498319</v>
      </c>
      <c r="M24" s="117">
        <f>IFERROR(('Cuadro 11-Veraguas'!F24)/('Cuadro 2-Bocas del Toro'!F24+'Cuadro 3-Coclé'!F24+'Cuadro 4-Colón'!F24+'Cuadro 5-Chiriquí'!F24+'Cuadro 6-Darién'!F24+'Cuadro 7-Herrera'!F24+'Cuadro 8-Los Santos'!F24+'Cuadro 9-Panamá'!F24+'Cuadro 10-Panamá Oeste'!F24+'Cuadro 11-Veraguas'!F24)*100,"")</f>
        <v>2.9992200466768728</v>
      </c>
      <c r="N24" s="47"/>
    </row>
    <row r="25" spans="1:14" ht="50.25" customHeight="1">
      <c r="A25" s="30"/>
      <c r="B25" s="38" t="s">
        <v>35</v>
      </c>
      <c r="C25" s="146">
        <f>IFERROR(('Cuadro 2-Bocas del Toro'!F25+'Cuadro 3-Coclé'!F25+'Cuadro 4-Colón'!F25+'Cuadro 5-Chiriquí'!F25+'Cuadro 6-Darién'!F25+'Cuadro 7-Herrera'!F25+'Cuadro 8-Los Santos'!F25+'Cuadro 9-Panamá'!F25+'Cuadro 10-Panamá Oeste'!F25+'Cuadro 11-Veraguas'!F25)/('Cuadro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100</v>
      </c>
      <c r="D25" s="146">
        <f>IFERROR(('Cuadro 2-Bocas del Toro'!F25)/('Cuadro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1.6182370107505992</v>
      </c>
      <c r="E25" s="146">
        <f>IFERROR(('Cuadro 3-Coclé'!F25)/('Cuadro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3.1802911873465312</v>
      </c>
      <c r="F25" s="146">
        <f>IFERROR(('Cuadro 4-Colón'!F25)/('Cuadro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16.072516471781444</v>
      </c>
      <c r="G25" s="146">
        <f>IFERROR(('Cuadro 5-Chiriquí'!F25)/('Cuadro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6.514293686063362</v>
      </c>
      <c r="H25" s="146">
        <f>IFERROR(('Cuadro 6-Darién'!F25)/('Cuadro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0.40552354731452028</v>
      </c>
      <c r="I25" s="146">
        <f>IFERROR(('Cuadro 7-Herrera'!F25)/('Cuadro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1.2555068995072043</v>
      </c>
      <c r="J25" s="146">
        <f>IFERROR(('Cuadro 8-Los Santos'!F25)/('Cuadro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1.2777468770663063</v>
      </c>
      <c r="K25" s="146">
        <f>IFERROR(('Cuadro 9-Panamá'!F25)/('Cuadro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56.618087863600472</v>
      </c>
      <c r="L25" s="144">
        <f>IFERROR(('Cuadro 10-Panamá Oeste'!F25)/('Cuadro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10.254228278137976</v>
      </c>
      <c r="M25" s="129">
        <f>IFERROR(('Cuadro 11-Veraguas'!F25)/('Cuadro 2-Bocas del Toro'!F25+'Cuadro 3-Coclé'!F25+'Cuadro 4-Colón'!F25+'Cuadro 5-Chiriquí'!F25+'Cuadro 6-Darién'!F25+'Cuadro 7-Herrera'!F25+'Cuadro 8-Los Santos'!F25+'Cuadro 9-Panamá'!F25+'Cuadro 10-Panamá Oeste'!F25+'Cuadro 11-Veraguas'!F25)*100,"")</f>
        <v>2.8035681784315711</v>
      </c>
      <c r="N25" s="47"/>
    </row>
    <row r="26" spans="1:14" ht="13.5" customHeight="1">
      <c r="A26" s="7"/>
      <c r="B26" s="17"/>
      <c r="C26" s="39"/>
      <c r="D26" s="41"/>
      <c r="E26" s="39"/>
      <c r="F26" s="39"/>
      <c r="G26" s="39"/>
      <c r="H26" s="39"/>
      <c r="I26" s="39"/>
      <c r="J26" s="39"/>
      <c r="K26" s="39"/>
      <c r="L26" s="39"/>
      <c r="M26" s="39"/>
      <c r="N26" s="113"/>
    </row>
    <row r="27" spans="1:14" ht="13.5" customHeight="1">
      <c r="A27" s="222" t="s">
        <v>65</v>
      </c>
      <c r="B27" s="222"/>
      <c r="C27" s="222"/>
      <c r="D27" s="222"/>
      <c r="E27" s="222"/>
      <c r="F27" s="222"/>
      <c r="G27" s="9"/>
      <c r="H27" s="9"/>
      <c r="I27" s="8"/>
      <c r="J27" s="8"/>
      <c r="K27" s="8"/>
      <c r="L27" s="8"/>
    </row>
    <row r="28" spans="1:14" s="9" customFormat="1" ht="13.5" customHeight="1">
      <c r="A28" s="64" t="s">
        <v>82</v>
      </c>
      <c r="B28" s="43"/>
      <c r="C28" s="43"/>
      <c r="D28" s="43"/>
      <c r="E28" s="43"/>
      <c r="F28" s="43"/>
      <c r="I28" s="12"/>
      <c r="J28" s="12"/>
      <c r="K28" s="12"/>
      <c r="L28" s="12"/>
      <c r="N28" s="92"/>
    </row>
    <row r="29" spans="1:14" s="9" customFormat="1" ht="13.5" customHeight="1">
      <c r="A29" s="64" t="s">
        <v>81</v>
      </c>
      <c r="B29" s="43"/>
      <c r="C29" s="43"/>
      <c r="D29" s="43"/>
      <c r="E29" s="43"/>
      <c r="F29" s="43"/>
      <c r="I29" s="10"/>
      <c r="J29" s="10"/>
      <c r="K29" s="1"/>
      <c r="L29" s="1"/>
      <c r="N29" s="92"/>
    </row>
    <row r="30" spans="1:14" s="9" customFormat="1" ht="13.5" customHeight="1">
      <c r="A30" s="64" t="s">
        <v>351</v>
      </c>
      <c r="B30" s="64"/>
      <c r="C30" s="64"/>
      <c r="D30" s="64"/>
      <c r="E30" s="64"/>
      <c r="F30" s="64"/>
      <c r="I30" s="10"/>
      <c r="J30" s="10"/>
      <c r="K30" s="1"/>
      <c r="L30" s="1"/>
      <c r="N30" s="92"/>
    </row>
    <row r="31" spans="1:14" s="9" customFormat="1" ht="13.5" customHeight="1">
      <c r="A31" s="64" t="s">
        <v>98</v>
      </c>
      <c r="B31" s="64"/>
      <c r="C31" s="64"/>
      <c r="D31" s="64"/>
      <c r="E31" s="64"/>
      <c r="F31" s="64"/>
      <c r="G31" s="10"/>
      <c r="H31" s="10"/>
      <c r="I31" s="10"/>
      <c r="J31" s="10"/>
      <c r="K31" s="1"/>
      <c r="L31" s="1"/>
      <c r="N31" s="92"/>
    </row>
    <row r="32" spans="1:14" s="9" customFormat="1" ht="13.5" customHeight="1">
      <c r="A32" s="18" t="s">
        <v>99</v>
      </c>
      <c r="B32" s="45"/>
      <c r="G32" s="10"/>
      <c r="H32" s="10"/>
      <c r="I32" s="10"/>
      <c r="J32" s="10"/>
      <c r="K32" s="1"/>
      <c r="L32" s="1"/>
      <c r="N32" s="92"/>
    </row>
    <row r="33" spans="1:14" s="9" customFormat="1" ht="13.5" customHeight="1">
      <c r="A33" s="18" t="s">
        <v>36</v>
      </c>
      <c r="B33" s="104"/>
      <c r="G33" s="10"/>
      <c r="H33" s="10"/>
      <c r="I33" s="10"/>
      <c r="J33" s="10"/>
      <c r="K33" s="1"/>
      <c r="L33" s="1"/>
      <c r="N33" s="92"/>
    </row>
    <row r="34" spans="1:14" s="9" customFormat="1" ht="13.5" customHeight="1">
      <c r="A34" s="9" t="s">
        <v>37</v>
      </c>
      <c r="B34" s="46"/>
      <c r="C34" s="100"/>
      <c r="D34" s="100"/>
      <c r="E34" s="101"/>
      <c r="F34" s="101"/>
      <c r="G34" s="10"/>
      <c r="H34" s="10"/>
      <c r="I34" s="10"/>
      <c r="J34" s="10"/>
      <c r="K34" s="1"/>
      <c r="L34" s="1"/>
      <c r="N34" s="92"/>
    </row>
    <row r="35" spans="1:14" ht="13.5" customHeight="1">
      <c r="A35" s="9" t="s">
        <v>86</v>
      </c>
      <c r="B35" s="101"/>
      <c r="C35" s="100"/>
      <c r="D35" s="100"/>
      <c r="E35" s="101"/>
      <c r="F35" s="101"/>
      <c r="G35" s="103"/>
      <c r="H35" s="103"/>
      <c r="I35" s="103"/>
      <c r="J35" s="103"/>
      <c r="K35" s="103"/>
      <c r="L35" s="103"/>
      <c r="M35" s="103"/>
    </row>
    <row r="36" spans="1:14" ht="13.5" customHeight="1">
      <c r="A36" s="18"/>
      <c r="B36" s="64"/>
      <c r="C36" s="64"/>
      <c r="D36" s="64"/>
      <c r="E36" s="100"/>
      <c r="F36" s="100"/>
      <c r="G36" s="48"/>
      <c r="H36" s="48"/>
      <c r="I36" s="48"/>
      <c r="J36" s="48"/>
      <c r="K36" s="48"/>
      <c r="L36" s="48"/>
      <c r="M36" s="48"/>
    </row>
    <row r="37" spans="1:14" ht="13.5" customHeight="1">
      <c r="A37" s="64"/>
      <c r="B37" s="118"/>
      <c r="C37" s="118"/>
      <c r="D37" s="118"/>
      <c r="E37" s="118"/>
      <c r="F37" s="118"/>
      <c r="G37" s="51"/>
      <c r="H37" s="51"/>
      <c r="I37" s="51"/>
      <c r="J37" s="51"/>
      <c r="K37" s="51"/>
      <c r="L37" s="51"/>
      <c r="M37" s="51"/>
    </row>
    <row r="38" spans="1:14">
      <c r="A38" s="18"/>
      <c r="D38" s="103"/>
      <c r="E38" s="103"/>
      <c r="F38" s="103"/>
      <c r="G38" s="51"/>
      <c r="H38" s="51"/>
      <c r="I38" s="51"/>
      <c r="J38" s="51"/>
      <c r="K38" s="51"/>
      <c r="L38" s="51"/>
      <c r="M38" s="51"/>
    </row>
    <row r="39" spans="1:14">
      <c r="C39" s="48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4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</sheetData>
  <mergeCells count="4">
    <mergeCell ref="A27:F27"/>
    <mergeCell ref="A5:A6"/>
    <mergeCell ref="C5:M5"/>
    <mergeCell ref="B5:B6"/>
  </mergeCells>
  <hyperlinks>
    <hyperlink ref="O5" location="Índice!A1" display="Índice"/>
  </hyperlinks>
  <printOptions horizontalCentered="1"/>
  <pageMargins left="0.70866141732283472" right="0.70866141732283472" top="0.74803149606299213" bottom="0.74803149606299213" header="0.31496062992125984" footer="0.31496062992125984"/>
  <pageSetup scale="37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pageSetUpPr fitToPage="1"/>
  </sheetPr>
  <dimension ref="A1:O40"/>
  <sheetViews>
    <sheetView zoomScaleNormal="100" zoomScaleSheetLayoutView="62" workbookViewId="0"/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89"/>
    <col min="15" max="241" width="11" style="1"/>
    <col min="242" max="242" width="17" style="1" customWidth="1"/>
    <col min="243" max="243" width="48.28515625" style="1" customWidth="1"/>
    <col min="244" max="250" width="13.5703125" style="1" customWidth="1"/>
    <col min="251" max="251" width="15.42578125" style="1" customWidth="1"/>
    <col min="252" max="254" width="13.5703125" style="1" customWidth="1"/>
    <col min="255" max="497" width="11" style="1"/>
    <col min="498" max="498" width="17" style="1" customWidth="1"/>
    <col min="499" max="499" width="48.28515625" style="1" customWidth="1"/>
    <col min="500" max="506" width="13.5703125" style="1" customWidth="1"/>
    <col min="507" max="507" width="15.42578125" style="1" customWidth="1"/>
    <col min="508" max="510" width="13.5703125" style="1" customWidth="1"/>
    <col min="511" max="753" width="11" style="1"/>
    <col min="754" max="754" width="17" style="1" customWidth="1"/>
    <col min="755" max="755" width="48.28515625" style="1" customWidth="1"/>
    <col min="756" max="762" width="13.5703125" style="1" customWidth="1"/>
    <col min="763" max="763" width="15.42578125" style="1" customWidth="1"/>
    <col min="764" max="766" width="13.5703125" style="1" customWidth="1"/>
    <col min="767" max="1009" width="11" style="1"/>
    <col min="1010" max="1010" width="17" style="1" customWidth="1"/>
    <col min="1011" max="1011" width="48.28515625" style="1" customWidth="1"/>
    <col min="1012" max="1018" width="13.5703125" style="1" customWidth="1"/>
    <col min="1019" max="1019" width="15.42578125" style="1" customWidth="1"/>
    <col min="1020" max="1022" width="13.5703125" style="1" customWidth="1"/>
    <col min="1023" max="1265" width="11" style="1"/>
    <col min="1266" max="1266" width="17" style="1" customWidth="1"/>
    <col min="1267" max="1267" width="48.28515625" style="1" customWidth="1"/>
    <col min="1268" max="1274" width="13.5703125" style="1" customWidth="1"/>
    <col min="1275" max="1275" width="15.42578125" style="1" customWidth="1"/>
    <col min="1276" max="1278" width="13.5703125" style="1" customWidth="1"/>
    <col min="1279" max="1521" width="11" style="1"/>
    <col min="1522" max="1522" width="17" style="1" customWidth="1"/>
    <col min="1523" max="1523" width="48.28515625" style="1" customWidth="1"/>
    <col min="1524" max="1530" width="13.5703125" style="1" customWidth="1"/>
    <col min="1531" max="1531" width="15.42578125" style="1" customWidth="1"/>
    <col min="1532" max="1534" width="13.5703125" style="1" customWidth="1"/>
    <col min="1535" max="1777" width="11" style="1"/>
    <col min="1778" max="1778" width="17" style="1" customWidth="1"/>
    <col min="1779" max="1779" width="48.28515625" style="1" customWidth="1"/>
    <col min="1780" max="1786" width="13.5703125" style="1" customWidth="1"/>
    <col min="1787" max="1787" width="15.42578125" style="1" customWidth="1"/>
    <col min="1788" max="1790" width="13.5703125" style="1" customWidth="1"/>
    <col min="1791" max="2033" width="11" style="1"/>
    <col min="2034" max="2034" width="17" style="1" customWidth="1"/>
    <col min="2035" max="2035" width="48.28515625" style="1" customWidth="1"/>
    <col min="2036" max="2042" width="13.5703125" style="1" customWidth="1"/>
    <col min="2043" max="2043" width="15.42578125" style="1" customWidth="1"/>
    <col min="2044" max="2046" width="13.5703125" style="1" customWidth="1"/>
    <col min="2047" max="2289" width="11" style="1"/>
    <col min="2290" max="2290" width="17" style="1" customWidth="1"/>
    <col min="2291" max="2291" width="48.28515625" style="1" customWidth="1"/>
    <col min="2292" max="2298" width="13.5703125" style="1" customWidth="1"/>
    <col min="2299" max="2299" width="15.42578125" style="1" customWidth="1"/>
    <col min="2300" max="2302" width="13.5703125" style="1" customWidth="1"/>
    <col min="2303" max="2545" width="11" style="1"/>
    <col min="2546" max="2546" width="17" style="1" customWidth="1"/>
    <col min="2547" max="2547" width="48.28515625" style="1" customWidth="1"/>
    <col min="2548" max="2554" width="13.5703125" style="1" customWidth="1"/>
    <col min="2555" max="2555" width="15.42578125" style="1" customWidth="1"/>
    <col min="2556" max="2558" width="13.5703125" style="1" customWidth="1"/>
    <col min="2559" max="2801" width="11" style="1"/>
    <col min="2802" max="2802" width="17" style="1" customWidth="1"/>
    <col min="2803" max="2803" width="48.28515625" style="1" customWidth="1"/>
    <col min="2804" max="2810" width="13.5703125" style="1" customWidth="1"/>
    <col min="2811" max="2811" width="15.42578125" style="1" customWidth="1"/>
    <col min="2812" max="2814" width="13.5703125" style="1" customWidth="1"/>
    <col min="2815" max="3057" width="11" style="1"/>
    <col min="3058" max="3058" width="17" style="1" customWidth="1"/>
    <col min="3059" max="3059" width="48.28515625" style="1" customWidth="1"/>
    <col min="3060" max="3066" width="13.5703125" style="1" customWidth="1"/>
    <col min="3067" max="3067" width="15.42578125" style="1" customWidth="1"/>
    <col min="3068" max="3070" width="13.5703125" style="1" customWidth="1"/>
    <col min="3071" max="3313" width="11" style="1"/>
    <col min="3314" max="3314" width="17" style="1" customWidth="1"/>
    <col min="3315" max="3315" width="48.28515625" style="1" customWidth="1"/>
    <col min="3316" max="3322" width="13.5703125" style="1" customWidth="1"/>
    <col min="3323" max="3323" width="15.42578125" style="1" customWidth="1"/>
    <col min="3324" max="3326" width="13.5703125" style="1" customWidth="1"/>
    <col min="3327" max="3569" width="11" style="1"/>
    <col min="3570" max="3570" width="17" style="1" customWidth="1"/>
    <col min="3571" max="3571" width="48.28515625" style="1" customWidth="1"/>
    <col min="3572" max="3578" width="13.5703125" style="1" customWidth="1"/>
    <col min="3579" max="3579" width="15.42578125" style="1" customWidth="1"/>
    <col min="3580" max="3582" width="13.5703125" style="1" customWidth="1"/>
    <col min="3583" max="3825" width="11" style="1"/>
    <col min="3826" max="3826" width="17" style="1" customWidth="1"/>
    <col min="3827" max="3827" width="48.28515625" style="1" customWidth="1"/>
    <col min="3828" max="3834" width="13.5703125" style="1" customWidth="1"/>
    <col min="3835" max="3835" width="15.42578125" style="1" customWidth="1"/>
    <col min="3836" max="3838" width="13.5703125" style="1" customWidth="1"/>
    <col min="3839" max="4081" width="11" style="1"/>
    <col min="4082" max="4082" width="17" style="1" customWidth="1"/>
    <col min="4083" max="4083" width="48.28515625" style="1" customWidth="1"/>
    <col min="4084" max="4090" width="13.5703125" style="1" customWidth="1"/>
    <col min="4091" max="4091" width="15.42578125" style="1" customWidth="1"/>
    <col min="4092" max="4094" width="13.5703125" style="1" customWidth="1"/>
    <col min="4095" max="4337" width="11" style="1"/>
    <col min="4338" max="4338" width="17" style="1" customWidth="1"/>
    <col min="4339" max="4339" width="48.28515625" style="1" customWidth="1"/>
    <col min="4340" max="4346" width="13.5703125" style="1" customWidth="1"/>
    <col min="4347" max="4347" width="15.42578125" style="1" customWidth="1"/>
    <col min="4348" max="4350" width="13.5703125" style="1" customWidth="1"/>
    <col min="4351" max="4593" width="11" style="1"/>
    <col min="4594" max="4594" width="17" style="1" customWidth="1"/>
    <col min="4595" max="4595" width="48.28515625" style="1" customWidth="1"/>
    <col min="4596" max="4602" width="13.5703125" style="1" customWidth="1"/>
    <col min="4603" max="4603" width="15.42578125" style="1" customWidth="1"/>
    <col min="4604" max="4606" width="13.5703125" style="1" customWidth="1"/>
    <col min="4607" max="4849" width="11" style="1"/>
    <col min="4850" max="4850" width="17" style="1" customWidth="1"/>
    <col min="4851" max="4851" width="48.28515625" style="1" customWidth="1"/>
    <col min="4852" max="4858" width="13.5703125" style="1" customWidth="1"/>
    <col min="4859" max="4859" width="15.42578125" style="1" customWidth="1"/>
    <col min="4860" max="4862" width="13.5703125" style="1" customWidth="1"/>
    <col min="4863" max="5105" width="11" style="1"/>
    <col min="5106" max="5106" width="17" style="1" customWidth="1"/>
    <col min="5107" max="5107" width="48.28515625" style="1" customWidth="1"/>
    <col min="5108" max="5114" width="13.5703125" style="1" customWidth="1"/>
    <col min="5115" max="5115" width="15.42578125" style="1" customWidth="1"/>
    <col min="5116" max="5118" width="13.5703125" style="1" customWidth="1"/>
    <col min="5119" max="5361" width="11" style="1"/>
    <col min="5362" max="5362" width="17" style="1" customWidth="1"/>
    <col min="5363" max="5363" width="48.28515625" style="1" customWidth="1"/>
    <col min="5364" max="5370" width="13.5703125" style="1" customWidth="1"/>
    <col min="5371" max="5371" width="15.42578125" style="1" customWidth="1"/>
    <col min="5372" max="5374" width="13.5703125" style="1" customWidth="1"/>
    <col min="5375" max="5617" width="11" style="1"/>
    <col min="5618" max="5618" width="17" style="1" customWidth="1"/>
    <col min="5619" max="5619" width="48.28515625" style="1" customWidth="1"/>
    <col min="5620" max="5626" width="13.5703125" style="1" customWidth="1"/>
    <col min="5627" max="5627" width="15.42578125" style="1" customWidth="1"/>
    <col min="5628" max="5630" width="13.5703125" style="1" customWidth="1"/>
    <col min="5631" max="5873" width="11" style="1"/>
    <col min="5874" max="5874" width="17" style="1" customWidth="1"/>
    <col min="5875" max="5875" width="48.28515625" style="1" customWidth="1"/>
    <col min="5876" max="5882" width="13.5703125" style="1" customWidth="1"/>
    <col min="5883" max="5883" width="15.42578125" style="1" customWidth="1"/>
    <col min="5884" max="5886" width="13.5703125" style="1" customWidth="1"/>
    <col min="5887" max="6129" width="11" style="1"/>
    <col min="6130" max="6130" width="17" style="1" customWidth="1"/>
    <col min="6131" max="6131" width="48.28515625" style="1" customWidth="1"/>
    <col min="6132" max="6138" width="13.5703125" style="1" customWidth="1"/>
    <col min="6139" max="6139" width="15.42578125" style="1" customWidth="1"/>
    <col min="6140" max="6142" width="13.5703125" style="1" customWidth="1"/>
    <col min="6143" max="6385" width="11" style="1"/>
    <col min="6386" max="6386" width="17" style="1" customWidth="1"/>
    <col min="6387" max="6387" width="48.28515625" style="1" customWidth="1"/>
    <col min="6388" max="6394" width="13.5703125" style="1" customWidth="1"/>
    <col min="6395" max="6395" width="15.42578125" style="1" customWidth="1"/>
    <col min="6396" max="6398" width="13.5703125" style="1" customWidth="1"/>
    <col min="6399" max="6641" width="11" style="1"/>
    <col min="6642" max="6642" width="17" style="1" customWidth="1"/>
    <col min="6643" max="6643" width="48.28515625" style="1" customWidth="1"/>
    <col min="6644" max="6650" width="13.5703125" style="1" customWidth="1"/>
    <col min="6651" max="6651" width="15.42578125" style="1" customWidth="1"/>
    <col min="6652" max="6654" width="13.5703125" style="1" customWidth="1"/>
    <col min="6655" max="6897" width="11" style="1"/>
    <col min="6898" max="6898" width="17" style="1" customWidth="1"/>
    <col min="6899" max="6899" width="48.28515625" style="1" customWidth="1"/>
    <col min="6900" max="6906" width="13.5703125" style="1" customWidth="1"/>
    <col min="6907" max="6907" width="15.42578125" style="1" customWidth="1"/>
    <col min="6908" max="6910" width="13.5703125" style="1" customWidth="1"/>
    <col min="6911" max="7153" width="11" style="1"/>
    <col min="7154" max="7154" width="17" style="1" customWidth="1"/>
    <col min="7155" max="7155" width="48.28515625" style="1" customWidth="1"/>
    <col min="7156" max="7162" width="13.5703125" style="1" customWidth="1"/>
    <col min="7163" max="7163" width="15.42578125" style="1" customWidth="1"/>
    <col min="7164" max="7166" width="13.5703125" style="1" customWidth="1"/>
    <col min="7167" max="7409" width="11" style="1"/>
    <col min="7410" max="7410" width="17" style="1" customWidth="1"/>
    <col min="7411" max="7411" width="48.28515625" style="1" customWidth="1"/>
    <col min="7412" max="7418" width="13.5703125" style="1" customWidth="1"/>
    <col min="7419" max="7419" width="15.42578125" style="1" customWidth="1"/>
    <col min="7420" max="7422" width="13.5703125" style="1" customWidth="1"/>
    <col min="7423" max="7665" width="11" style="1"/>
    <col min="7666" max="7666" width="17" style="1" customWidth="1"/>
    <col min="7667" max="7667" width="48.28515625" style="1" customWidth="1"/>
    <col min="7668" max="7674" width="13.5703125" style="1" customWidth="1"/>
    <col min="7675" max="7675" width="15.42578125" style="1" customWidth="1"/>
    <col min="7676" max="7678" width="13.5703125" style="1" customWidth="1"/>
    <col min="7679" max="7921" width="11" style="1"/>
    <col min="7922" max="7922" width="17" style="1" customWidth="1"/>
    <col min="7923" max="7923" width="48.28515625" style="1" customWidth="1"/>
    <col min="7924" max="7930" width="13.5703125" style="1" customWidth="1"/>
    <col min="7931" max="7931" width="15.42578125" style="1" customWidth="1"/>
    <col min="7932" max="7934" width="13.5703125" style="1" customWidth="1"/>
    <col min="7935" max="8177" width="11" style="1"/>
    <col min="8178" max="8178" width="17" style="1" customWidth="1"/>
    <col min="8179" max="8179" width="48.28515625" style="1" customWidth="1"/>
    <col min="8180" max="8186" width="13.5703125" style="1" customWidth="1"/>
    <col min="8187" max="8187" width="15.42578125" style="1" customWidth="1"/>
    <col min="8188" max="8190" width="13.5703125" style="1" customWidth="1"/>
    <col min="8191" max="8433" width="11" style="1"/>
    <col min="8434" max="8434" width="17" style="1" customWidth="1"/>
    <col min="8435" max="8435" width="48.28515625" style="1" customWidth="1"/>
    <col min="8436" max="8442" width="13.5703125" style="1" customWidth="1"/>
    <col min="8443" max="8443" width="15.42578125" style="1" customWidth="1"/>
    <col min="8444" max="8446" width="13.5703125" style="1" customWidth="1"/>
    <col min="8447" max="8689" width="11" style="1"/>
    <col min="8690" max="8690" width="17" style="1" customWidth="1"/>
    <col min="8691" max="8691" width="48.28515625" style="1" customWidth="1"/>
    <col min="8692" max="8698" width="13.5703125" style="1" customWidth="1"/>
    <col min="8699" max="8699" width="15.42578125" style="1" customWidth="1"/>
    <col min="8700" max="8702" width="13.5703125" style="1" customWidth="1"/>
    <col min="8703" max="8945" width="11" style="1"/>
    <col min="8946" max="8946" width="17" style="1" customWidth="1"/>
    <col min="8947" max="8947" width="48.28515625" style="1" customWidth="1"/>
    <col min="8948" max="8954" width="13.5703125" style="1" customWidth="1"/>
    <col min="8955" max="8955" width="15.42578125" style="1" customWidth="1"/>
    <col min="8956" max="8958" width="13.5703125" style="1" customWidth="1"/>
    <col min="8959" max="9201" width="11" style="1"/>
    <col min="9202" max="9202" width="17" style="1" customWidth="1"/>
    <col min="9203" max="9203" width="48.28515625" style="1" customWidth="1"/>
    <col min="9204" max="9210" width="13.5703125" style="1" customWidth="1"/>
    <col min="9211" max="9211" width="15.42578125" style="1" customWidth="1"/>
    <col min="9212" max="9214" width="13.5703125" style="1" customWidth="1"/>
    <col min="9215" max="9457" width="11" style="1"/>
    <col min="9458" max="9458" width="17" style="1" customWidth="1"/>
    <col min="9459" max="9459" width="48.28515625" style="1" customWidth="1"/>
    <col min="9460" max="9466" width="13.5703125" style="1" customWidth="1"/>
    <col min="9467" max="9467" width="15.42578125" style="1" customWidth="1"/>
    <col min="9468" max="9470" width="13.5703125" style="1" customWidth="1"/>
    <col min="9471" max="9713" width="11" style="1"/>
    <col min="9714" max="9714" width="17" style="1" customWidth="1"/>
    <col min="9715" max="9715" width="48.28515625" style="1" customWidth="1"/>
    <col min="9716" max="9722" width="13.5703125" style="1" customWidth="1"/>
    <col min="9723" max="9723" width="15.42578125" style="1" customWidth="1"/>
    <col min="9724" max="9726" width="13.5703125" style="1" customWidth="1"/>
    <col min="9727" max="9969" width="11" style="1"/>
    <col min="9970" max="9970" width="17" style="1" customWidth="1"/>
    <col min="9971" max="9971" width="48.28515625" style="1" customWidth="1"/>
    <col min="9972" max="9978" width="13.5703125" style="1" customWidth="1"/>
    <col min="9979" max="9979" width="15.42578125" style="1" customWidth="1"/>
    <col min="9980" max="9982" width="13.5703125" style="1" customWidth="1"/>
    <col min="9983" max="10225" width="11" style="1"/>
    <col min="10226" max="10226" width="17" style="1" customWidth="1"/>
    <col min="10227" max="10227" width="48.28515625" style="1" customWidth="1"/>
    <col min="10228" max="10234" width="13.5703125" style="1" customWidth="1"/>
    <col min="10235" max="10235" width="15.42578125" style="1" customWidth="1"/>
    <col min="10236" max="10238" width="13.5703125" style="1" customWidth="1"/>
    <col min="10239" max="10481" width="11" style="1"/>
    <col min="10482" max="10482" width="17" style="1" customWidth="1"/>
    <col min="10483" max="10483" width="48.28515625" style="1" customWidth="1"/>
    <col min="10484" max="10490" width="13.5703125" style="1" customWidth="1"/>
    <col min="10491" max="10491" width="15.42578125" style="1" customWidth="1"/>
    <col min="10492" max="10494" width="13.5703125" style="1" customWidth="1"/>
    <col min="10495" max="10737" width="11" style="1"/>
    <col min="10738" max="10738" width="17" style="1" customWidth="1"/>
    <col min="10739" max="10739" width="48.28515625" style="1" customWidth="1"/>
    <col min="10740" max="10746" width="13.5703125" style="1" customWidth="1"/>
    <col min="10747" max="10747" width="15.42578125" style="1" customWidth="1"/>
    <col min="10748" max="10750" width="13.5703125" style="1" customWidth="1"/>
    <col min="10751" max="10993" width="11" style="1"/>
    <col min="10994" max="10994" width="17" style="1" customWidth="1"/>
    <col min="10995" max="10995" width="48.28515625" style="1" customWidth="1"/>
    <col min="10996" max="11002" width="13.5703125" style="1" customWidth="1"/>
    <col min="11003" max="11003" width="15.42578125" style="1" customWidth="1"/>
    <col min="11004" max="11006" width="13.5703125" style="1" customWidth="1"/>
    <col min="11007" max="11249" width="11" style="1"/>
    <col min="11250" max="11250" width="17" style="1" customWidth="1"/>
    <col min="11251" max="11251" width="48.28515625" style="1" customWidth="1"/>
    <col min="11252" max="11258" width="13.5703125" style="1" customWidth="1"/>
    <col min="11259" max="11259" width="15.42578125" style="1" customWidth="1"/>
    <col min="11260" max="11262" width="13.5703125" style="1" customWidth="1"/>
    <col min="11263" max="11505" width="11" style="1"/>
    <col min="11506" max="11506" width="17" style="1" customWidth="1"/>
    <col min="11507" max="11507" width="48.28515625" style="1" customWidth="1"/>
    <col min="11508" max="11514" width="13.5703125" style="1" customWidth="1"/>
    <col min="11515" max="11515" width="15.42578125" style="1" customWidth="1"/>
    <col min="11516" max="11518" width="13.5703125" style="1" customWidth="1"/>
    <col min="11519" max="11761" width="11" style="1"/>
    <col min="11762" max="11762" width="17" style="1" customWidth="1"/>
    <col min="11763" max="11763" width="48.28515625" style="1" customWidth="1"/>
    <col min="11764" max="11770" width="13.5703125" style="1" customWidth="1"/>
    <col min="11771" max="11771" width="15.42578125" style="1" customWidth="1"/>
    <col min="11772" max="11774" width="13.5703125" style="1" customWidth="1"/>
    <col min="11775" max="12017" width="11" style="1"/>
    <col min="12018" max="12018" width="17" style="1" customWidth="1"/>
    <col min="12019" max="12019" width="48.28515625" style="1" customWidth="1"/>
    <col min="12020" max="12026" width="13.5703125" style="1" customWidth="1"/>
    <col min="12027" max="12027" width="15.42578125" style="1" customWidth="1"/>
    <col min="12028" max="12030" width="13.5703125" style="1" customWidth="1"/>
    <col min="12031" max="12273" width="11" style="1"/>
    <col min="12274" max="12274" width="17" style="1" customWidth="1"/>
    <col min="12275" max="12275" width="48.28515625" style="1" customWidth="1"/>
    <col min="12276" max="12282" width="13.5703125" style="1" customWidth="1"/>
    <col min="12283" max="12283" width="15.42578125" style="1" customWidth="1"/>
    <col min="12284" max="12286" width="13.5703125" style="1" customWidth="1"/>
    <col min="12287" max="12529" width="11" style="1"/>
    <col min="12530" max="12530" width="17" style="1" customWidth="1"/>
    <col min="12531" max="12531" width="48.28515625" style="1" customWidth="1"/>
    <col min="12532" max="12538" width="13.5703125" style="1" customWidth="1"/>
    <col min="12539" max="12539" width="15.42578125" style="1" customWidth="1"/>
    <col min="12540" max="12542" width="13.5703125" style="1" customWidth="1"/>
    <col min="12543" max="12785" width="11" style="1"/>
    <col min="12786" max="12786" width="17" style="1" customWidth="1"/>
    <col min="12787" max="12787" width="48.28515625" style="1" customWidth="1"/>
    <col min="12788" max="12794" width="13.5703125" style="1" customWidth="1"/>
    <col min="12795" max="12795" width="15.42578125" style="1" customWidth="1"/>
    <col min="12796" max="12798" width="13.5703125" style="1" customWidth="1"/>
    <col min="12799" max="13041" width="11" style="1"/>
    <col min="13042" max="13042" width="17" style="1" customWidth="1"/>
    <col min="13043" max="13043" width="48.28515625" style="1" customWidth="1"/>
    <col min="13044" max="13050" width="13.5703125" style="1" customWidth="1"/>
    <col min="13051" max="13051" width="15.42578125" style="1" customWidth="1"/>
    <col min="13052" max="13054" width="13.5703125" style="1" customWidth="1"/>
    <col min="13055" max="13297" width="11" style="1"/>
    <col min="13298" max="13298" width="17" style="1" customWidth="1"/>
    <col min="13299" max="13299" width="48.28515625" style="1" customWidth="1"/>
    <col min="13300" max="13306" width="13.5703125" style="1" customWidth="1"/>
    <col min="13307" max="13307" width="15.42578125" style="1" customWidth="1"/>
    <col min="13308" max="13310" width="13.5703125" style="1" customWidth="1"/>
    <col min="13311" max="13553" width="11" style="1"/>
    <col min="13554" max="13554" width="17" style="1" customWidth="1"/>
    <col min="13555" max="13555" width="48.28515625" style="1" customWidth="1"/>
    <col min="13556" max="13562" width="13.5703125" style="1" customWidth="1"/>
    <col min="13563" max="13563" width="15.42578125" style="1" customWidth="1"/>
    <col min="13564" max="13566" width="13.5703125" style="1" customWidth="1"/>
    <col min="13567" max="13809" width="11" style="1"/>
    <col min="13810" max="13810" width="17" style="1" customWidth="1"/>
    <col min="13811" max="13811" width="48.28515625" style="1" customWidth="1"/>
    <col min="13812" max="13818" width="13.5703125" style="1" customWidth="1"/>
    <col min="13819" max="13819" width="15.42578125" style="1" customWidth="1"/>
    <col min="13820" max="13822" width="13.5703125" style="1" customWidth="1"/>
    <col min="13823" max="14065" width="11" style="1"/>
    <col min="14066" max="14066" width="17" style="1" customWidth="1"/>
    <col min="14067" max="14067" width="48.28515625" style="1" customWidth="1"/>
    <col min="14068" max="14074" width="13.5703125" style="1" customWidth="1"/>
    <col min="14075" max="14075" width="15.42578125" style="1" customWidth="1"/>
    <col min="14076" max="14078" width="13.5703125" style="1" customWidth="1"/>
    <col min="14079" max="14321" width="11" style="1"/>
    <col min="14322" max="14322" width="17" style="1" customWidth="1"/>
    <col min="14323" max="14323" width="48.28515625" style="1" customWidth="1"/>
    <col min="14324" max="14330" width="13.5703125" style="1" customWidth="1"/>
    <col min="14331" max="14331" width="15.42578125" style="1" customWidth="1"/>
    <col min="14332" max="14334" width="13.5703125" style="1" customWidth="1"/>
    <col min="14335" max="14577" width="11" style="1"/>
    <col min="14578" max="14578" width="17" style="1" customWidth="1"/>
    <col min="14579" max="14579" width="48.28515625" style="1" customWidth="1"/>
    <col min="14580" max="14586" width="13.5703125" style="1" customWidth="1"/>
    <col min="14587" max="14587" width="15.42578125" style="1" customWidth="1"/>
    <col min="14588" max="14590" width="13.5703125" style="1" customWidth="1"/>
    <col min="14591" max="14833" width="11" style="1"/>
    <col min="14834" max="14834" width="17" style="1" customWidth="1"/>
    <col min="14835" max="14835" width="48.28515625" style="1" customWidth="1"/>
    <col min="14836" max="14842" width="13.5703125" style="1" customWidth="1"/>
    <col min="14843" max="14843" width="15.42578125" style="1" customWidth="1"/>
    <col min="14844" max="14846" width="13.5703125" style="1" customWidth="1"/>
    <col min="14847" max="15089" width="11" style="1"/>
    <col min="15090" max="15090" width="17" style="1" customWidth="1"/>
    <col min="15091" max="15091" width="48.28515625" style="1" customWidth="1"/>
    <col min="15092" max="15098" width="13.5703125" style="1" customWidth="1"/>
    <col min="15099" max="15099" width="15.42578125" style="1" customWidth="1"/>
    <col min="15100" max="15102" width="13.5703125" style="1" customWidth="1"/>
    <col min="15103" max="15345" width="11" style="1"/>
    <col min="15346" max="15346" width="17" style="1" customWidth="1"/>
    <col min="15347" max="15347" width="48.28515625" style="1" customWidth="1"/>
    <col min="15348" max="15354" width="13.5703125" style="1" customWidth="1"/>
    <col min="15355" max="15355" width="15.42578125" style="1" customWidth="1"/>
    <col min="15356" max="15358" width="13.5703125" style="1" customWidth="1"/>
    <col min="15359" max="15601" width="11" style="1"/>
    <col min="15602" max="15602" width="17" style="1" customWidth="1"/>
    <col min="15603" max="15603" width="48.28515625" style="1" customWidth="1"/>
    <col min="15604" max="15610" width="13.5703125" style="1" customWidth="1"/>
    <col min="15611" max="15611" width="15.42578125" style="1" customWidth="1"/>
    <col min="15612" max="15614" width="13.5703125" style="1" customWidth="1"/>
    <col min="15615" max="15857" width="11" style="1"/>
    <col min="15858" max="15858" width="17" style="1" customWidth="1"/>
    <col min="15859" max="15859" width="48.28515625" style="1" customWidth="1"/>
    <col min="15860" max="15866" width="13.5703125" style="1" customWidth="1"/>
    <col min="15867" max="15867" width="15.42578125" style="1" customWidth="1"/>
    <col min="15868" max="15870" width="13.5703125" style="1" customWidth="1"/>
    <col min="15871" max="16113" width="11" style="1"/>
    <col min="16114" max="16114" width="17" style="1" customWidth="1"/>
    <col min="16115" max="16115" width="48.28515625" style="1" customWidth="1"/>
    <col min="16116" max="16122" width="13.5703125" style="1" customWidth="1"/>
    <col min="16123" max="16123" width="15.42578125" style="1" customWidth="1"/>
    <col min="16124" max="16126" width="13.5703125" style="1" customWidth="1"/>
    <col min="16127" max="16384" width="11" style="1"/>
  </cols>
  <sheetData>
    <row r="1" spans="1:15" ht="17.25" customHeight="1">
      <c r="A1" s="42" t="s">
        <v>181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O1" s="101"/>
    </row>
    <row r="2" spans="1:15" ht="17.25" customHeight="1">
      <c r="A2" s="191" t="s">
        <v>176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O2" s="101"/>
    </row>
    <row r="3" spans="1:15" s="9" customFormat="1" ht="17.25" customHeight="1">
      <c r="A3" s="185">
        <v>2022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O3" s="13"/>
    </row>
    <row r="4" spans="1:15" s="7" customFormat="1" ht="17.25" customHeight="1" thickBot="1">
      <c r="A4" s="185" t="s">
        <v>216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14"/>
      <c r="O4" s="114"/>
    </row>
    <row r="5" spans="1:15" s="7" customFormat="1" ht="37.5" customHeight="1" thickTop="1">
      <c r="A5" s="217" t="s">
        <v>29</v>
      </c>
      <c r="B5" s="217" t="s">
        <v>30</v>
      </c>
      <c r="C5" s="219" t="s">
        <v>48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  <c r="N5" s="112"/>
      <c r="O5" s="193" t="s">
        <v>42</v>
      </c>
    </row>
    <row r="6" spans="1:15" s="7" customFormat="1" ht="37.5" customHeight="1" thickBot="1">
      <c r="A6" s="223"/>
      <c r="B6" s="223"/>
      <c r="C6" s="133" t="s">
        <v>49</v>
      </c>
      <c r="D6" s="134" t="s">
        <v>12</v>
      </c>
      <c r="E6" s="133" t="s">
        <v>13</v>
      </c>
      <c r="F6" s="133" t="s">
        <v>14</v>
      </c>
      <c r="G6" s="133" t="s">
        <v>15</v>
      </c>
      <c r="H6" s="134" t="s">
        <v>16</v>
      </c>
      <c r="I6" s="133" t="s">
        <v>17</v>
      </c>
      <c r="J6" s="133" t="s">
        <v>18</v>
      </c>
      <c r="K6" s="133" t="s">
        <v>19</v>
      </c>
      <c r="L6" s="134" t="s">
        <v>24</v>
      </c>
      <c r="M6" s="133" t="s">
        <v>21</v>
      </c>
      <c r="N6" s="58"/>
      <c r="O6" s="114"/>
    </row>
    <row r="7" spans="1:15" ht="32.25" customHeight="1" thickTop="1">
      <c r="A7" s="135" t="s">
        <v>0</v>
      </c>
      <c r="B7" s="136" t="s">
        <v>53</v>
      </c>
      <c r="C7" s="137">
        <f>IFERROR(('Cuadro 2-Bocas del Toro'!G7+'Cuadro 3-Coclé'!G7+'Cuadro 4-Colón'!G7+'Cuadro 5-Chiriquí'!G7+'Cuadro 6-Darién'!G7+'Cuadro 7-Herrera'!G7+'Cuadro 8-Los Santos'!G7+'Cuadro 9-Panamá'!G7+'Cuadro 10-Panamá Oeste'!G7+'Cuadro 11-Veraguas'!G7)/('Cuadro 2-Bocas del Toro'!G7+'Cuadro 3-Coclé'!G7+'Cuadro 4-Colón'!G7+'Cuadro 5-Chiriquí'!G7+'Cuadro 6-Darién'!G7+'Cuadro 7-Herrera'!G7+'Cuadro 8-Los Santos'!G7+'Cuadro 9-Panamá'!G7+'Cuadro 10-Panamá Oeste'!G7+'Cuadro 11-Veraguas'!G7)*100,"")</f>
        <v>100</v>
      </c>
      <c r="D7" s="137">
        <f>IFERROR(('Cuadro 2-Bocas del Toro'!G7)/('Cuadro 2-Bocas del Toro'!G7+'Cuadro 3-Coclé'!G7+'Cuadro 4-Colón'!G7+'Cuadro 5-Chiriquí'!G7+'Cuadro 6-Darién'!G7+'Cuadro 7-Herrera'!G7+'Cuadro 8-Los Santos'!G7+'Cuadro 9-Panamá'!G7+'Cuadro 10-Panamá Oeste'!G7+'Cuadro 11-Veraguas'!G7)*100,"")</f>
        <v>7.5554392135261157</v>
      </c>
      <c r="E7" s="137">
        <f>IFERROR(('Cuadro 3-Coclé'!G7)/('Cuadro 2-Bocas del Toro'!G7+'Cuadro 3-Coclé'!G7+'Cuadro 4-Colón'!G7+'Cuadro 5-Chiriquí'!G7+'Cuadro 6-Darién'!G7+'Cuadro 7-Herrera'!G7+'Cuadro 8-Los Santos'!G7+'Cuadro 9-Panamá'!G7+'Cuadro 10-Panamá Oeste'!G7+'Cuadro 11-Veraguas'!G7)*100,"")</f>
        <v>11.99981770244678</v>
      </c>
      <c r="F7" s="137">
        <f>IFERROR(('Cuadro 4-Colón'!G7)/('Cuadro 2-Bocas del Toro'!G7+'Cuadro 3-Coclé'!G7+'Cuadro 4-Colón'!G7+'Cuadro 5-Chiriquí'!G7+'Cuadro 6-Darién'!G7+'Cuadro 7-Herrera'!G7+'Cuadro 8-Los Santos'!G7+'Cuadro 9-Panamá'!G7+'Cuadro 10-Panamá Oeste'!G7+'Cuadro 11-Veraguas'!G7)*100,"")</f>
        <v>2.4650954377570495</v>
      </c>
      <c r="G7" s="137">
        <f>IFERROR(('Cuadro 5-Chiriquí'!G7)/('Cuadro 2-Bocas del Toro'!G7+'Cuadro 3-Coclé'!G7+'Cuadro 4-Colón'!G7+'Cuadro 5-Chiriquí'!G7+'Cuadro 6-Darién'!G7+'Cuadro 7-Herrera'!G7+'Cuadro 8-Los Santos'!G7+'Cuadro 9-Panamá'!G7+'Cuadro 10-Panamá Oeste'!G7+'Cuadro 11-Veraguas'!G7)*100,"")</f>
        <v>19.526514808941471</v>
      </c>
      <c r="H7" s="137">
        <f>IFERROR(('Cuadro 6-Darién'!G7)/('Cuadro 2-Bocas del Toro'!G7+'Cuadro 3-Coclé'!G7+'Cuadro 4-Colón'!G7+'Cuadro 5-Chiriquí'!G7+'Cuadro 6-Darién'!G7+'Cuadro 7-Herrera'!G7+'Cuadro 8-Los Santos'!G7+'Cuadro 9-Panamá'!G7+'Cuadro 10-Panamá Oeste'!G7+'Cuadro 11-Veraguas'!G7)*100,"")</f>
        <v>5.6495165878499103</v>
      </c>
      <c r="I7" s="137">
        <f>IFERROR(('Cuadro 7-Herrera'!G7)/('Cuadro 2-Bocas del Toro'!G7+'Cuadro 3-Coclé'!G7+'Cuadro 4-Colón'!G7+'Cuadro 5-Chiriquí'!G7+'Cuadro 6-Darién'!G7+'Cuadro 7-Herrera'!G7+'Cuadro 8-Los Santos'!G7+'Cuadro 9-Panamá'!G7+'Cuadro 10-Panamá Oeste'!G7+'Cuadro 11-Veraguas'!G7)*100,"")</f>
        <v>6.8532886866276286</v>
      </c>
      <c r="J7" s="137">
        <f>IFERROR(('Cuadro 8-Los Santos'!G7)/('Cuadro 2-Bocas del Toro'!G7+'Cuadro 3-Coclé'!G7+'Cuadro 4-Colón'!G7+'Cuadro 5-Chiriquí'!G7+'Cuadro 6-Darién'!G7+'Cuadro 7-Herrera'!G7+'Cuadro 8-Los Santos'!G7+'Cuadro 9-Panamá'!G7+'Cuadro 10-Panamá Oeste'!G7+'Cuadro 11-Veraguas'!G7)*100,"")</f>
        <v>11.149057294132922</v>
      </c>
      <c r="K7" s="137">
        <f>IFERROR(('Cuadro 9-Panamá'!G7)/('Cuadro 2-Bocas del Toro'!G7+'Cuadro 3-Coclé'!G7+'Cuadro 4-Colón'!G7+'Cuadro 5-Chiriquí'!G7+'Cuadro 6-Darién'!G7+'Cuadro 7-Herrera'!G7+'Cuadro 8-Los Santos'!G7+'Cuadro 9-Panamá'!G7+'Cuadro 10-Panamá Oeste'!G7+'Cuadro 11-Veraguas'!G7)*100,"")</f>
        <v>8.356902376604225</v>
      </c>
      <c r="L7" s="138">
        <f>IFERROR(('Cuadro 10-Panamá Oeste'!G7)/('Cuadro 2-Bocas del Toro'!G7+'Cuadro 3-Coclé'!G7+'Cuadro 4-Colón'!G7+'Cuadro 5-Chiriquí'!G7+'Cuadro 6-Darién'!G7+'Cuadro 7-Herrera'!G7+'Cuadro 8-Los Santos'!G7+'Cuadro 9-Panamá'!G7+'Cuadro 10-Panamá Oeste'!G7+'Cuadro 11-Veraguas'!G7)*100,"")</f>
        <v>17.49540416654137</v>
      </c>
      <c r="M7" s="139">
        <f>IFERROR(('Cuadro 11-Veraguas'!G7)/('Cuadro 2-Bocas del Toro'!G7+'Cuadro 3-Coclé'!G7+'Cuadro 4-Colón'!G7+'Cuadro 5-Chiriquí'!G7+'Cuadro 6-Darién'!G7+'Cuadro 7-Herrera'!G7+'Cuadro 8-Los Santos'!G7+'Cuadro 9-Panamá'!G7+'Cuadro 10-Panamá Oeste'!G7+'Cuadro 11-Veraguas'!G7)*100,"")</f>
        <v>8.9489637255725096</v>
      </c>
      <c r="N7" s="58"/>
    </row>
    <row r="8" spans="1:15" ht="32.25" customHeight="1">
      <c r="A8" s="56" t="s">
        <v>1</v>
      </c>
      <c r="B8" s="60" t="s">
        <v>31</v>
      </c>
      <c r="C8" s="14">
        <f>IFERROR(('Cuadro 2-Bocas del Toro'!G8+'Cuadro 3-Coclé'!G8+'Cuadro 4-Colón'!G8+'Cuadro 5-Chiriquí'!G8+'Cuadro 6-Darién'!G8+'Cuadro 7-Herrera'!G8+'Cuadro 8-Los Santos'!G8+'Cuadro 9-Panamá'!G8+'Cuadro 10-Panamá Oeste'!G8+'Cuadro 11-Veraguas'!G8)/('Cuadro 2-Bocas del Toro'!G8+'Cuadro 3-Coclé'!G8+'Cuadro 4-Colón'!G8+'Cuadro 5-Chiriquí'!G8+'Cuadro 6-Darién'!G8+'Cuadro 7-Herrera'!G8+'Cuadro 8-Los Santos'!G8+'Cuadro 9-Panamá'!G8+'Cuadro 10-Panamá Oeste'!G8+'Cuadro 11-Veraguas'!G8)*100,"")</f>
        <v>100</v>
      </c>
      <c r="D8" s="14">
        <f>IFERROR(('Cuadro 2-Bocas del Toro'!G8)/('Cuadro 2-Bocas del Toro'!G8+'Cuadro 3-Coclé'!G8+'Cuadro 4-Colón'!G8+'Cuadro 5-Chiriquí'!G8+'Cuadro 6-Darién'!G8+'Cuadro 7-Herrera'!G8+'Cuadro 8-Los Santos'!G8+'Cuadro 9-Panamá'!G8+'Cuadro 10-Panamá Oeste'!G8+'Cuadro 11-Veraguas'!G8)*100,"")</f>
        <v>0.21979761957541141</v>
      </c>
      <c r="E8" s="14">
        <f>IFERROR(('Cuadro 3-Coclé'!G8)/('Cuadro 2-Bocas del Toro'!G8+'Cuadro 3-Coclé'!G8+'Cuadro 4-Colón'!G8+'Cuadro 5-Chiriquí'!G8+'Cuadro 6-Darién'!G8+'Cuadro 7-Herrera'!G8+'Cuadro 8-Los Santos'!G8+'Cuadro 9-Panamá'!G8+'Cuadro 10-Panamá Oeste'!G8+'Cuadro 11-Veraguas'!G8)*100,"")</f>
        <v>1.2005472672917987</v>
      </c>
      <c r="F8" s="14">
        <f>IFERROR(('Cuadro 4-Colón'!G8)/('Cuadro 2-Bocas del Toro'!G8+'Cuadro 3-Coclé'!G8+'Cuadro 4-Colón'!G8+'Cuadro 5-Chiriquí'!G8+'Cuadro 6-Darién'!G8+'Cuadro 7-Herrera'!G8+'Cuadro 8-Los Santos'!G8+'Cuadro 9-Panamá'!G8+'Cuadro 10-Panamá Oeste'!G8+'Cuadro 11-Veraguas'!G8)*100,"")</f>
        <v>79.635557359973859</v>
      </c>
      <c r="G8" s="14">
        <f>IFERROR(('Cuadro 5-Chiriquí'!G8)/('Cuadro 2-Bocas del Toro'!G8+'Cuadro 3-Coclé'!G8+'Cuadro 4-Colón'!G8+'Cuadro 5-Chiriquí'!G8+'Cuadro 6-Darién'!G8+'Cuadro 7-Herrera'!G8+'Cuadro 8-Los Santos'!G8+'Cuadro 9-Panamá'!G8+'Cuadro 10-Panamá Oeste'!G8+'Cuadro 11-Veraguas'!G8)*100,"")</f>
        <v>2.2814785047953827</v>
      </c>
      <c r="H8" s="14">
        <f>IFERROR(('Cuadro 6-Darién'!G8)/('Cuadro 2-Bocas del Toro'!G8+'Cuadro 3-Coclé'!G8+'Cuadro 4-Colón'!G8+'Cuadro 5-Chiriquí'!G8+'Cuadro 6-Darién'!G8+'Cuadro 7-Herrera'!G8+'Cuadro 8-Los Santos'!G8+'Cuadro 9-Panamá'!G8+'Cuadro 10-Panamá Oeste'!G8+'Cuadro 11-Veraguas'!G8)*100,"")</f>
        <v>1.6226820797960118E-2</v>
      </c>
      <c r="I8" s="14">
        <f>IFERROR(('Cuadro 7-Herrera'!G8)/('Cuadro 2-Bocas del Toro'!G8+'Cuadro 3-Coclé'!G8+'Cuadro 4-Colón'!G8+'Cuadro 5-Chiriquí'!G8+'Cuadro 6-Darién'!G8+'Cuadro 7-Herrera'!G8+'Cuadro 8-Los Santos'!G8+'Cuadro 9-Panamá'!G8+'Cuadro 10-Panamá Oeste'!G8+'Cuadro 11-Veraguas'!G8)*100,"")</f>
        <v>0.30287175157850288</v>
      </c>
      <c r="J8" s="14">
        <f>IFERROR(('Cuadro 8-Los Santos'!G8)/('Cuadro 2-Bocas del Toro'!G8+'Cuadro 3-Coclé'!G8+'Cuadro 4-Colón'!G8+'Cuadro 5-Chiriquí'!G8+'Cuadro 6-Darién'!G8+'Cuadro 7-Herrera'!G8+'Cuadro 8-Los Santos'!G8+'Cuadro 9-Panamá'!G8+'Cuadro 10-Panamá Oeste'!G8+'Cuadro 11-Veraguas'!G8)*100,"")</f>
        <v>0.63014039426287283</v>
      </c>
      <c r="K8" s="14">
        <f>IFERROR(('Cuadro 9-Panamá'!G8)/('Cuadro 2-Bocas del Toro'!G8+'Cuadro 3-Coclé'!G8+'Cuadro 4-Colón'!G8+'Cuadro 5-Chiriquí'!G8+'Cuadro 6-Darién'!G8+'Cuadro 7-Herrera'!G8+'Cuadro 8-Los Santos'!G8+'Cuadro 9-Panamá'!G8+'Cuadro 10-Panamá Oeste'!G8+'Cuadro 11-Veraguas'!G8)*100,"")</f>
        <v>10.766050323661917</v>
      </c>
      <c r="L8" s="19">
        <f>IFERROR(('Cuadro 10-Panamá Oeste'!G8)/('Cuadro 2-Bocas del Toro'!G8+'Cuadro 3-Coclé'!G8+'Cuadro 4-Colón'!G8+'Cuadro 5-Chiriquí'!G8+'Cuadro 6-Darién'!G8+'Cuadro 7-Herrera'!G8+'Cuadro 8-Los Santos'!G8+'Cuadro 9-Panamá'!G8+'Cuadro 10-Panamá Oeste'!G8+'Cuadro 11-Veraguas'!G8)*100,"")</f>
        <v>4.2349210064421339</v>
      </c>
      <c r="M8" s="106">
        <f>IFERROR(('Cuadro 11-Veraguas'!G8)/('Cuadro 2-Bocas del Toro'!G8+'Cuadro 3-Coclé'!G8+'Cuadro 4-Colón'!G8+'Cuadro 5-Chiriquí'!G8+'Cuadro 6-Darién'!G8+'Cuadro 7-Herrera'!G8+'Cuadro 8-Los Santos'!G8+'Cuadro 9-Panamá'!G8+'Cuadro 10-Panamá Oeste'!G8+'Cuadro 11-Veraguas'!G8)*100,"")</f>
        <v>0.71240895162013285</v>
      </c>
      <c r="N8" s="58"/>
    </row>
    <row r="9" spans="1:15" ht="32.25" customHeight="1">
      <c r="A9" s="56" t="s">
        <v>2</v>
      </c>
      <c r="B9" s="60" t="s">
        <v>3</v>
      </c>
      <c r="C9" s="14">
        <f>IFERROR(('Cuadro 2-Bocas del Toro'!G9+'Cuadro 3-Coclé'!G9+'Cuadro 4-Colón'!G9+'Cuadro 5-Chiriquí'!G9+'Cuadro 6-Darién'!G9+'Cuadro 7-Herrera'!G9+'Cuadro 8-Los Santos'!G9+'Cuadro 9-Panamá'!G9+'Cuadro 10-Panamá Oeste'!G9+'Cuadro 11-Veraguas'!G9)/('Cuadro 2-Bocas del Toro'!G9+'Cuadro 3-Coclé'!G9+'Cuadro 4-Colón'!G9+'Cuadro 5-Chiriquí'!G9+'Cuadro 6-Darién'!G9+'Cuadro 7-Herrera'!G9+'Cuadro 8-Los Santos'!G9+'Cuadro 9-Panamá'!G9+'Cuadro 10-Panamá Oeste'!G9+'Cuadro 11-Veraguas'!G9)*100,"")</f>
        <v>100</v>
      </c>
      <c r="D9" s="14">
        <f>IFERROR(('Cuadro 2-Bocas del Toro'!G9)/('Cuadro 2-Bocas del Toro'!G9+'Cuadro 3-Coclé'!G9+'Cuadro 4-Colón'!G9+'Cuadro 5-Chiriquí'!G9+'Cuadro 6-Darién'!G9+'Cuadro 7-Herrera'!G9+'Cuadro 8-Los Santos'!G9+'Cuadro 9-Panamá'!G9+'Cuadro 10-Panamá Oeste'!G9+'Cuadro 11-Veraguas'!G9)*100,"")</f>
        <v>1.9127279997971536E-2</v>
      </c>
      <c r="E9" s="14">
        <f>IFERROR(('Cuadro 3-Coclé'!G9)/('Cuadro 2-Bocas del Toro'!G9+'Cuadro 3-Coclé'!G9+'Cuadro 4-Colón'!G9+'Cuadro 5-Chiriquí'!G9+'Cuadro 6-Darién'!G9+'Cuadro 7-Herrera'!G9+'Cuadro 8-Los Santos'!G9+'Cuadro 9-Panamá'!G9+'Cuadro 10-Panamá Oeste'!G9+'Cuadro 11-Veraguas'!G9)*100,"")</f>
        <v>8.4833210706011997</v>
      </c>
      <c r="F9" s="14">
        <f>IFERROR(('Cuadro 4-Colón'!G9)/('Cuadro 2-Bocas del Toro'!G9+'Cuadro 3-Coclé'!G9+'Cuadro 4-Colón'!G9+'Cuadro 5-Chiriquí'!G9+'Cuadro 6-Darién'!G9+'Cuadro 7-Herrera'!G9+'Cuadro 8-Los Santos'!G9+'Cuadro 9-Panamá'!G9+'Cuadro 10-Panamá Oeste'!G9+'Cuadro 11-Veraguas'!G9)*100,"")</f>
        <v>2.4432581535644404</v>
      </c>
      <c r="G9" s="14">
        <f>IFERROR(('Cuadro 5-Chiriquí'!G9)/('Cuadro 2-Bocas del Toro'!G9+'Cuadro 3-Coclé'!G9+'Cuadro 4-Colón'!G9+'Cuadro 5-Chiriquí'!G9+'Cuadro 6-Darién'!G9+'Cuadro 7-Herrera'!G9+'Cuadro 8-Los Santos'!G9+'Cuadro 9-Panamá'!G9+'Cuadro 10-Panamá Oeste'!G9+'Cuadro 11-Veraguas'!G9)*100,"")</f>
        <v>5.2207919169236989</v>
      </c>
      <c r="H9" s="14">
        <f>IFERROR(('Cuadro 6-Darién'!G9)/('Cuadro 2-Bocas del Toro'!G9+'Cuadro 3-Coclé'!G9+'Cuadro 4-Colón'!G9+'Cuadro 5-Chiriquí'!G9+'Cuadro 6-Darién'!G9+'Cuadro 7-Herrera'!G9+'Cuadro 8-Los Santos'!G9+'Cuadro 9-Panamá'!G9+'Cuadro 10-Panamá Oeste'!G9+'Cuadro 11-Veraguas'!G9)*100,"")</f>
        <v>1.5287734106946341E-2</v>
      </c>
      <c r="I9" s="14">
        <f>IFERROR(('Cuadro 7-Herrera'!G9)/('Cuadro 2-Bocas del Toro'!G9+'Cuadro 3-Coclé'!G9+'Cuadro 4-Colón'!G9+'Cuadro 5-Chiriquí'!G9+'Cuadro 6-Darién'!G9+'Cuadro 7-Herrera'!G9+'Cuadro 8-Los Santos'!G9+'Cuadro 9-Panamá'!G9+'Cuadro 10-Panamá Oeste'!G9+'Cuadro 11-Veraguas'!G9)*100,"")</f>
        <v>1.3349780236813107</v>
      </c>
      <c r="J9" s="14">
        <f>IFERROR(('Cuadro 8-Los Santos'!G9)/('Cuadro 2-Bocas del Toro'!G9+'Cuadro 3-Coclé'!G9+'Cuadro 4-Colón'!G9+'Cuadro 5-Chiriquí'!G9+'Cuadro 6-Darién'!G9+'Cuadro 7-Herrera'!G9+'Cuadro 8-Los Santos'!G9+'Cuadro 9-Panamá'!G9+'Cuadro 10-Panamá Oeste'!G9+'Cuadro 11-Veraguas'!G9)*100,"")</f>
        <v>0.33109804041853874</v>
      </c>
      <c r="K9" s="14">
        <f>IFERROR(('Cuadro 9-Panamá'!G9)/('Cuadro 2-Bocas del Toro'!G9+'Cuadro 3-Coclé'!G9+'Cuadro 4-Colón'!G9+'Cuadro 5-Chiriquí'!G9+'Cuadro 6-Darién'!G9+'Cuadro 7-Herrera'!G9+'Cuadro 8-Los Santos'!G9+'Cuadro 9-Panamá'!G9+'Cuadro 10-Panamá Oeste'!G9+'Cuadro 11-Veraguas'!G9)*100,"")</f>
        <v>61.497038558474436</v>
      </c>
      <c r="L9" s="19">
        <f>IFERROR(('Cuadro 10-Panamá Oeste'!G9)/('Cuadro 2-Bocas del Toro'!G9+'Cuadro 3-Coclé'!G9+'Cuadro 4-Colón'!G9+'Cuadro 5-Chiriquí'!G9+'Cuadro 6-Darién'!G9+'Cuadro 7-Herrera'!G9+'Cuadro 8-Los Santos'!G9+'Cuadro 9-Panamá'!G9+'Cuadro 10-Panamá Oeste'!G9+'Cuadro 11-Veraguas'!G9)*100,"")</f>
        <v>15.128475649204946</v>
      </c>
      <c r="M9" s="106">
        <f>IFERROR(('Cuadro 11-Veraguas'!G9)/('Cuadro 2-Bocas del Toro'!G9+'Cuadro 3-Coclé'!G9+'Cuadro 4-Colón'!G9+'Cuadro 5-Chiriquí'!G9+'Cuadro 6-Darién'!G9+'Cuadro 7-Herrera'!G9+'Cuadro 8-Los Santos'!G9+'Cuadro 9-Panamá'!G9+'Cuadro 10-Panamá Oeste'!G9+'Cuadro 11-Veraguas'!G9)*100,"")</f>
        <v>5.5266235730265034</v>
      </c>
      <c r="N9" s="47"/>
    </row>
    <row r="10" spans="1:15" ht="44.25" customHeight="1">
      <c r="A10" s="56" t="s">
        <v>68</v>
      </c>
      <c r="B10" s="60" t="s">
        <v>69</v>
      </c>
      <c r="C10" s="14">
        <f>IFERROR(('Cuadro 2-Bocas del Toro'!G10+'Cuadro 3-Coclé'!G10+'Cuadro 4-Colón'!G10+'Cuadro 5-Chiriquí'!G10+'Cuadro 6-Darién'!G10+'Cuadro 7-Herrera'!G10+'Cuadro 8-Los Santos'!G10+'Cuadro 9-Panamá'!G10+'Cuadro 10-Panamá Oeste'!G10+'Cuadro 11-Veraguas'!G10)/('Cuadro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100</v>
      </c>
      <c r="D10" s="14">
        <f>IFERROR(('Cuadro 2-Bocas del Toro'!G10)/('Cuadro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14.257903509498426</v>
      </c>
      <c r="E10" s="14">
        <f>IFERROR(('Cuadro 3-Coclé'!G10)/('Cuadro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6.8904824041642918</v>
      </c>
      <c r="F10" s="14">
        <f>IFERROR(('Cuadro 4-Colón'!G10)/('Cuadro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11.347835173674236</v>
      </c>
      <c r="G10" s="14">
        <f>IFERROR(('Cuadro 5-Chiriquí'!G10)/('Cuadro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27.759471612025688</v>
      </c>
      <c r="H10" s="14">
        <f>IFERROR(('Cuadro 6-Darién'!G10)/('Cuadro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0.15087219000278737</v>
      </c>
      <c r="I10" s="14">
        <f>IFERROR(('Cuadro 7-Herrera'!G10)/('Cuadro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2.6662486724391328</v>
      </c>
      <c r="J10" s="14">
        <f>IFERROR(('Cuadro 8-Los Santos'!G10)/('Cuadro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0.87401962098918529</v>
      </c>
      <c r="K10" s="14">
        <f>IFERROR(('Cuadro 9-Panamá'!G10)/('Cuadro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26.188789948768822</v>
      </c>
      <c r="L10" s="19">
        <f>IFERROR(('Cuadro 10-Panamá Oeste'!G10)/('Cuadro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8.164899395051437</v>
      </c>
      <c r="M10" s="106">
        <f>IFERROR(('Cuadro 11-Veraguas'!G10)/('Cuadro 2-Bocas del Toro'!G10+'Cuadro 3-Coclé'!G10+'Cuadro 4-Colón'!G10+'Cuadro 5-Chiriquí'!G10+'Cuadro 6-Darién'!G10+'Cuadro 7-Herrera'!G10+'Cuadro 8-Los Santos'!G10+'Cuadro 9-Panamá'!G10+'Cuadro 10-Panamá Oeste'!G10+'Cuadro 11-Veraguas'!G10)*100,"")</f>
        <v>1.6994774733859925</v>
      </c>
      <c r="N10" s="47"/>
    </row>
    <row r="11" spans="1:15" ht="32.25" customHeight="1">
      <c r="A11" s="56" t="s">
        <v>4</v>
      </c>
      <c r="B11" s="60" t="s">
        <v>94</v>
      </c>
      <c r="C11" s="14">
        <f>IFERROR(('Cuadro 2-Bocas del Toro'!G11+'Cuadro 3-Coclé'!G11+'Cuadro 4-Colón'!G11+'Cuadro 5-Chiriquí'!G11+'Cuadro 6-Darién'!G11+'Cuadro 7-Herrera'!G11+'Cuadro 8-Los Santos'!G11+'Cuadro 9-Panamá'!G11+'Cuadro 10-Panamá Oeste'!G11+'Cuadro 11-Veraguas'!G11)/('Cuadro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100</v>
      </c>
      <c r="D11" s="14">
        <f>IFERROR(('Cuadro 2-Bocas del Toro'!G11)/('Cuadro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0.70203918785180364</v>
      </c>
      <c r="E11" s="14">
        <f>IFERROR(('Cuadro 3-Coclé'!G11)/('Cuadro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3.8307211296368173</v>
      </c>
      <c r="F11" s="14">
        <f>IFERROR(('Cuadro 4-Colón'!G11)/('Cuadro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23.850845986426823</v>
      </c>
      <c r="G11" s="14">
        <f>IFERROR(('Cuadro 5-Chiriquí'!G11)/('Cuadro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7.2871003776197218</v>
      </c>
      <c r="H11" s="14">
        <f>IFERROR(('Cuadro 6-Darién'!G11)/('Cuadro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5.1828878385592268E-2</v>
      </c>
      <c r="I11" s="14">
        <f>IFERROR(('Cuadro 7-Herrera'!G11)/('Cuadro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0.95256327987121481</v>
      </c>
      <c r="J11" s="14">
        <f>IFERROR(('Cuadro 8-Los Santos'!G11)/('Cuadro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1.9133988252584035</v>
      </c>
      <c r="K11" s="14">
        <f>IFERROR(('Cuadro 9-Panamá'!G11)/('Cuadro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43.394044479309343</v>
      </c>
      <c r="L11" s="19">
        <f>IFERROR(('Cuadro 10-Panamá Oeste'!G11)/('Cuadro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15.742005542826876</v>
      </c>
      <c r="M11" s="106">
        <f>IFERROR(('Cuadro 11-Veraguas'!G11)/('Cuadro 2-Bocas del Toro'!G11+'Cuadro 3-Coclé'!G11+'Cuadro 4-Colón'!G11+'Cuadro 5-Chiriquí'!G11+'Cuadro 6-Darién'!G11+'Cuadro 7-Herrera'!G11+'Cuadro 8-Los Santos'!G11+'Cuadro 9-Panamá'!G11+'Cuadro 10-Panamá Oeste'!G11+'Cuadro 11-Veraguas'!G11)*100,"")</f>
        <v>2.2754523128134143</v>
      </c>
      <c r="N11" s="47"/>
    </row>
    <row r="12" spans="1:15" ht="41.25" customHeight="1">
      <c r="A12" s="56" t="s">
        <v>5</v>
      </c>
      <c r="B12" s="60" t="s">
        <v>54</v>
      </c>
      <c r="C12" s="14">
        <f>IFERROR(('Cuadro 2-Bocas del Toro'!G12+'Cuadro 3-Coclé'!G12+'Cuadro 4-Colón'!G12+'Cuadro 5-Chiriquí'!G12+'Cuadro 6-Darién'!G12+'Cuadro 7-Herrera'!G12+'Cuadro 8-Los Santos'!G12+'Cuadro 9-Panamá'!G12+'Cuadro 10-Panamá Oeste'!G12+'Cuadro 11-Veraguas'!G12)/('Cuadro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100</v>
      </c>
      <c r="D12" s="14">
        <f>IFERROR(('Cuadro 2-Bocas del Toro'!G12)/('Cuadro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0.14431096321065778</v>
      </c>
      <c r="E12" s="14">
        <f>IFERROR(('Cuadro 3-Coclé'!G12)/('Cuadro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1.2759616478018887</v>
      </c>
      <c r="F12" s="14">
        <f>IFERROR(('Cuadro 4-Colón'!G12)/('Cuadro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24.627118325446911</v>
      </c>
      <c r="G12" s="14">
        <f>IFERROR(('Cuadro 5-Chiriquí'!G12)/('Cuadro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4.0894412424603086</v>
      </c>
      <c r="H12" s="14">
        <f>IFERROR(('Cuadro 6-Darién'!G12)/('Cuadro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1.4413400521941348E-2</v>
      </c>
      <c r="I12" s="14">
        <f>IFERROR(('Cuadro 7-Herrera'!G12)/('Cuadro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0.143765394721624</v>
      </c>
      <c r="J12" s="14">
        <f>IFERROR(('Cuadro 8-Los Santos'!G12)/('Cuadro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0.12749908216336642</v>
      </c>
      <c r="K12" s="14">
        <f>IFERROR(('Cuadro 9-Panamá'!G12)/('Cuadro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66.809839991631421</v>
      </c>
      <c r="L12" s="19">
        <f>IFERROR(('Cuadro 10-Panamá Oeste'!G12)/('Cuadro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0.80873947420393744</v>
      </c>
      <c r="M12" s="106">
        <f>IFERROR(('Cuadro 11-Veraguas'!G12)/('Cuadro 2-Bocas del Toro'!G12+'Cuadro 3-Coclé'!G12+'Cuadro 4-Colón'!G12+'Cuadro 5-Chiriquí'!G12+'Cuadro 6-Darién'!G12+'Cuadro 7-Herrera'!G12+'Cuadro 8-Los Santos'!G12+'Cuadro 9-Panamá'!G12+'Cuadro 10-Panamá Oeste'!G12+'Cuadro 11-Veraguas'!G12)*100,"")</f>
        <v>1.9589104778379374</v>
      </c>
      <c r="N12" s="47"/>
    </row>
    <row r="13" spans="1:15" ht="32.25" customHeight="1">
      <c r="A13" s="56" t="s">
        <v>6</v>
      </c>
      <c r="B13" s="60" t="s">
        <v>55</v>
      </c>
      <c r="C13" s="14">
        <f>IFERROR(('Cuadro 2-Bocas del Toro'!G13+'Cuadro 3-Coclé'!G13+'Cuadro 4-Colón'!G13+'Cuadro 5-Chiriquí'!G13+'Cuadro 6-Darién'!G13+'Cuadro 7-Herrera'!G13+'Cuadro 8-Los Santos'!G13+'Cuadro 9-Panamá'!G13+'Cuadro 10-Panamá Oeste'!G13+'Cuadro 11-Veraguas'!G13)/('Cuadro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100</v>
      </c>
      <c r="D13" s="14">
        <f>IFERROR(('Cuadro 2-Bocas del Toro'!G13)/('Cuadro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0.85976886591779045</v>
      </c>
      <c r="E13" s="14">
        <f>IFERROR(('Cuadro 3-Coclé'!G13)/('Cuadro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0.83001583095684905</v>
      </c>
      <c r="F13" s="14">
        <f>IFERROR(('Cuadro 4-Colón'!G13)/('Cuadro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27.223895681748246</v>
      </c>
      <c r="G13" s="14">
        <f>IFERROR(('Cuadro 5-Chiriquí'!G13)/('Cuadro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2.5356075147199482</v>
      </c>
      <c r="H13" s="14">
        <f>IFERROR(('Cuadro 6-Darién'!G13)/('Cuadro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7.9305160633098924E-3</v>
      </c>
      <c r="I13" s="14">
        <f>IFERROR(('Cuadro 7-Herrera'!G13)/('Cuadro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0.46937400908350002</v>
      </c>
      <c r="J13" s="14">
        <f>IFERROR(('Cuadro 8-Los Santos'!G13)/('Cuadro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0.38975766745380291</v>
      </c>
      <c r="K13" s="14">
        <f>IFERROR(('Cuadro 9-Panamá'!G13)/('Cuadro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50.349136210509556</v>
      </c>
      <c r="L13" s="19">
        <f>IFERROR(('Cuadro 10-Panamá Oeste'!G13)/('Cuadro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16.221839032144654</v>
      </c>
      <c r="M13" s="106">
        <f>IFERROR(('Cuadro 11-Veraguas'!G13)/('Cuadro 2-Bocas del Toro'!G13+'Cuadro 3-Coclé'!G13+'Cuadro 4-Colón'!G13+'Cuadro 5-Chiriquí'!G13+'Cuadro 6-Darién'!G13+'Cuadro 7-Herrera'!G13+'Cuadro 8-Los Santos'!G13+'Cuadro 9-Panamá'!G13+'Cuadro 10-Panamá Oeste'!G13+'Cuadro 11-Veraguas'!G13)*100,"")</f>
        <v>1.1126746714023479</v>
      </c>
      <c r="N13" s="47"/>
    </row>
    <row r="14" spans="1:15" ht="32.25" customHeight="1">
      <c r="A14" s="56" t="s">
        <v>7</v>
      </c>
      <c r="B14" s="60" t="s">
        <v>32</v>
      </c>
      <c r="C14" s="14">
        <f>IFERROR(('Cuadro 2-Bocas del Toro'!G14+'Cuadro 3-Coclé'!G14+'Cuadro 4-Colón'!G14+'Cuadro 5-Chiriquí'!G14+'Cuadro 6-Darién'!G14+'Cuadro 7-Herrera'!G14+'Cuadro 8-Los Santos'!G14+'Cuadro 9-Panamá'!G14+'Cuadro 10-Panamá Oeste'!G14+'Cuadro 11-Veraguas'!G14)/('Cuadro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100</v>
      </c>
      <c r="D14" s="14">
        <f>IFERROR(('Cuadro 2-Bocas del Toro'!G14)/('Cuadro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0.48713715055635498</v>
      </c>
      <c r="E14" s="14">
        <f>IFERROR(('Cuadro 3-Coclé'!G14)/('Cuadro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5.1152169822904785</v>
      </c>
      <c r="F14" s="14">
        <f>IFERROR(('Cuadro 4-Colón'!G14)/('Cuadro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0.84777096919950012</v>
      </c>
      <c r="G14" s="14">
        <f>IFERROR(('Cuadro 5-Chiriquí'!G14)/('Cuadro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2.9426416242372193</v>
      </c>
      <c r="H14" s="14">
        <f>IFERROR(('Cuadro 6-Darién'!G14)/('Cuadro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4.4816617851184655E-3</v>
      </c>
      <c r="I14" s="14">
        <f>IFERROR(('Cuadro 7-Herrera'!G14)/('Cuadro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0.56422460465505841</v>
      </c>
      <c r="J14" s="14">
        <f>IFERROR(('Cuadro 8-Los Santos'!G14)/('Cuadro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0.4144634103754451</v>
      </c>
      <c r="K14" s="14">
        <f>IFERROR(('Cuadro 9-Panamá'!G14)/('Cuadro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83.697809100703481</v>
      </c>
      <c r="L14" s="19">
        <f>IFERROR(('Cuadro 10-Panamá Oeste'!G14)/('Cuadro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2.9252938510228494</v>
      </c>
      <c r="M14" s="106">
        <f>IFERROR(('Cuadro 11-Veraguas'!G14)/('Cuadro 2-Bocas del Toro'!G14+'Cuadro 3-Coclé'!G14+'Cuadro 4-Colón'!G14+'Cuadro 5-Chiriquí'!G14+'Cuadro 6-Darién'!G14+'Cuadro 7-Herrera'!G14+'Cuadro 8-Los Santos'!G14+'Cuadro 9-Panamá'!G14+'Cuadro 10-Panamá Oeste'!G14+'Cuadro 11-Veraguas'!G14)*100,"")</f>
        <v>3.0009606451745077</v>
      </c>
      <c r="N14" s="47"/>
    </row>
    <row r="15" spans="1:15" ht="32.25" customHeight="1">
      <c r="A15" s="56" t="s">
        <v>8</v>
      </c>
      <c r="B15" s="60" t="s">
        <v>56</v>
      </c>
      <c r="C15" s="14">
        <f>IFERROR(('Cuadro 2-Bocas del Toro'!G15+'Cuadro 3-Coclé'!G15+'Cuadro 4-Colón'!G15+'Cuadro 5-Chiriquí'!G15+'Cuadro 6-Darién'!G15+'Cuadro 7-Herrera'!G15+'Cuadro 8-Los Santos'!G15+'Cuadro 9-Panamá'!G15+'Cuadro 10-Panamá Oeste'!G15+'Cuadro 11-Veraguas'!G15)/('Cuadro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100</v>
      </c>
      <c r="D15" s="14">
        <f>IFERROR(('Cuadro 2-Bocas del Toro'!G15)/('Cuadro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4.3212766760992238</v>
      </c>
      <c r="E15" s="14">
        <f>IFERROR(('Cuadro 3-Coclé'!G15)/('Cuadro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6.1514114483868871</v>
      </c>
      <c r="F15" s="14">
        <f>IFERROR(('Cuadro 4-Colón'!G15)/('Cuadro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8.1057893522657949</v>
      </c>
      <c r="G15" s="14">
        <f>IFERROR(('Cuadro 5-Chiriquí'!G15)/('Cuadro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16.03869396602914</v>
      </c>
      <c r="H15" s="14">
        <f>IFERROR(('Cuadro 6-Darién'!G15)/('Cuadro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1.6536553780827012</v>
      </c>
      <c r="I15" s="14">
        <f>IFERROR(('Cuadro 7-Herrera'!G15)/('Cuadro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2.7088915856390319</v>
      </c>
      <c r="J15" s="14">
        <f>IFERROR(('Cuadro 8-Los Santos'!G15)/('Cuadro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2.1734471428629933</v>
      </c>
      <c r="K15" s="14">
        <f>IFERROR(('Cuadro 9-Panamá'!G15)/('Cuadro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38.567311293088672</v>
      </c>
      <c r="L15" s="19">
        <f>IFERROR(('Cuadro 10-Panamá Oeste'!G15)/('Cuadro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14.603106783570327</v>
      </c>
      <c r="M15" s="106">
        <f>IFERROR(('Cuadro 11-Veraguas'!G15)/('Cuadro 2-Bocas del Toro'!G15+'Cuadro 3-Coclé'!G15+'Cuadro 4-Colón'!G15+'Cuadro 5-Chiriquí'!G15+'Cuadro 6-Darién'!G15+'Cuadro 7-Herrera'!G15+'Cuadro 8-Los Santos'!G15+'Cuadro 9-Panamá'!G15+'Cuadro 10-Panamá Oeste'!G15+'Cuadro 11-Veraguas'!G15)*100,"")</f>
        <v>5.6764163739752362</v>
      </c>
      <c r="N15" s="47"/>
    </row>
    <row r="16" spans="1:15" ht="32.25" customHeight="1">
      <c r="A16" s="56" t="s">
        <v>9</v>
      </c>
      <c r="B16" s="60" t="s">
        <v>57</v>
      </c>
      <c r="C16" s="14">
        <f>IFERROR(('Cuadro 2-Bocas del Toro'!G16+'Cuadro 3-Coclé'!G16+'Cuadro 4-Colón'!G16+'Cuadro 5-Chiriquí'!G16+'Cuadro 6-Darién'!G16+'Cuadro 7-Herrera'!G16+'Cuadro 8-Los Santos'!G16+'Cuadro 9-Panamá'!G16+'Cuadro 10-Panamá Oeste'!G16+'Cuadro 11-Veraguas'!G16)/('Cuadro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100</v>
      </c>
      <c r="D16" s="14">
        <f>IFERROR(('Cuadro 2-Bocas del Toro'!G16)/('Cuadro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0.39526654169867714</v>
      </c>
      <c r="E16" s="14">
        <f>IFERROR(('Cuadro 3-Coclé'!G16)/('Cuadro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1.2776472945367994</v>
      </c>
      <c r="F16" s="14">
        <f>IFERROR(('Cuadro 4-Colón'!G16)/('Cuadro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3.5448483881352191</v>
      </c>
      <c r="G16" s="14">
        <f>IFERROR(('Cuadro 5-Chiriquí'!G16)/('Cuadro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3.9975937694781369</v>
      </c>
      <c r="H16" s="14">
        <f>IFERROR(('Cuadro 6-Darién'!G16)/('Cuadro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8.6844681552489922E-2</v>
      </c>
      <c r="I16" s="14">
        <f>IFERROR(('Cuadro 7-Herrera'!G16)/('Cuadro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1.1978717591264958</v>
      </c>
      <c r="J16" s="14">
        <f>IFERROR(('Cuadro 8-Los Santos'!G16)/('Cuadro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0.7425666125591609</v>
      </c>
      <c r="K16" s="14">
        <f>IFERROR(('Cuadro 9-Panamá'!G16)/('Cuadro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84.864114679017661</v>
      </c>
      <c r="L16" s="19">
        <f>IFERROR(('Cuadro 10-Panamá Oeste'!G16)/('Cuadro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1.6720180987614668</v>
      </c>
      <c r="M16" s="106">
        <f>IFERROR(('Cuadro 11-Veraguas'!G16)/('Cuadro 2-Bocas del Toro'!G16+'Cuadro 3-Coclé'!G16+'Cuadro 4-Colón'!G16+'Cuadro 5-Chiriquí'!G16+'Cuadro 6-Darién'!G16+'Cuadro 7-Herrera'!G16+'Cuadro 8-Los Santos'!G16+'Cuadro 9-Panamá'!G16+'Cuadro 10-Panamá Oeste'!G16+'Cuadro 11-Veraguas'!G16)*100,"")</f>
        <v>2.2212281751339078</v>
      </c>
      <c r="N16" s="47"/>
    </row>
    <row r="17" spans="1:14" ht="32.25" customHeight="1">
      <c r="A17" s="56" t="s">
        <v>70</v>
      </c>
      <c r="B17" s="60" t="s">
        <v>95</v>
      </c>
      <c r="C17" s="14">
        <f>IFERROR(('Cuadro 2-Bocas del Toro'!G17+'Cuadro 3-Coclé'!G17+'Cuadro 4-Colón'!G17+'Cuadro 5-Chiriquí'!G17+'Cuadro 6-Darién'!G17+'Cuadro 7-Herrera'!G17+'Cuadro 8-Los Santos'!G17+'Cuadro 9-Panamá'!G17+'Cuadro 10-Panamá Oeste'!G17+'Cuadro 11-Veraguas'!G17)/('Cuadro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100</v>
      </c>
      <c r="D17" s="14">
        <f>IFERROR(('Cuadro 2-Bocas del Toro'!G17)/('Cuadro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0.99450114944514256</v>
      </c>
      <c r="E17" s="14">
        <f>IFERROR(('Cuadro 3-Coclé'!G17)/('Cuadro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1.7782244311692266</v>
      </c>
      <c r="F17" s="14">
        <f>IFERROR(('Cuadro 4-Colón'!G17)/('Cuadro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2.7502317474466258</v>
      </c>
      <c r="G17" s="14">
        <f>IFERROR(('Cuadro 5-Chiriquí'!G17)/('Cuadro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3.5320063522781173</v>
      </c>
      <c r="H17" s="14">
        <f>IFERROR(('Cuadro 6-Darién'!G17)/('Cuadro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0.18705545169380422</v>
      </c>
      <c r="I17" s="14">
        <f>IFERROR(('Cuadro 7-Herrera'!G17)/('Cuadro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0.83824496545936344</v>
      </c>
      <c r="J17" s="14">
        <f>IFERROR(('Cuadro 8-Los Santos'!G17)/('Cuadro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0.69278058572505463</v>
      </c>
      <c r="K17" s="14">
        <f>IFERROR(('Cuadro 9-Panamá'!G17)/('Cuadro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77.137549709778568</v>
      </c>
      <c r="L17" s="19">
        <f>IFERROR(('Cuadro 10-Panamá Oeste'!G17)/('Cuadro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11.258276198259766</v>
      </c>
      <c r="M17" s="106">
        <f>IFERROR(('Cuadro 11-Veraguas'!G17)/('Cuadro 2-Bocas del Toro'!G17+'Cuadro 3-Coclé'!G17+'Cuadro 4-Colón'!G17+'Cuadro 5-Chiriquí'!G17+'Cuadro 6-Darién'!G17+'Cuadro 7-Herrera'!G17+'Cuadro 8-Los Santos'!G17+'Cuadro 9-Panamá'!G17+'Cuadro 10-Panamá Oeste'!G17+'Cuadro 11-Veraguas'!G17)*100,"")</f>
        <v>0.83112940874433949</v>
      </c>
      <c r="N17" s="47"/>
    </row>
    <row r="18" spans="1:14" ht="32.25" customHeight="1">
      <c r="A18" s="56" t="s">
        <v>10</v>
      </c>
      <c r="B18" s="60" t="s">
        <v>58</v>
      </c>
      <c r="C18" s="14">
        <f>IFERROR(('Cuadro 2-Bocas del Toro'!G18+'Cuadro 3-Coclé'!G18+'Cuadro 4-Colón'!G18+'Cuadro 5-Chiriquí'!G18+'Cuadro 6-Darién'!G18+'Cuadro 7-Herrera'!G18+'Cuadro 8-Los Santos'!G18+'Cuadro 9-Panamá'!G18+'Cuadro 10-Panamá Oeste'!G18+'Cuadro 11-Veraguas'!G18)/('Cuadro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100</v>
      </c>
      <c r="D18" s="14">
        <f>IFERROR(('Cuadro 2-Bocas del Toro'!G18)/('Cuadro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0.10667375282208207</v>
      </c>
      <c r="E18" s="14">
        <f>IFERROR(('Cuadro 3-Coclé'!G18)/('Cuadro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0.52628572254820094</v>
      </c>
      <c r="F18" s="14">
        <f>IFERROR(('Cuadro 4-Colón'!G18)/('Cuadro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1.2503788293010203</v>
      </c>
      <c r="G18" s="14">
        <f>IFERROR(('Cuadro 5-Chiriquí'!G18)/('Cuadro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4.1892396306605049</v>
      </c>
      <c r="H18" s="14">
        <f>IFERROR(('Cuadro 6-Darién'!G18)/('Cuadro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8.2517052990519549E-2</v>
      </c>
      <c r="I18" s="14">
        <f>IFERROR(('Cuadro 7-Herrera'!G18)/('Cuadro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0.50774000320865464</v>
      </c>
      <c r="J18" s="14">
        <f>IFERROR(('Cuadro 8-Los Santos'!G18)/('Cuadro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0.1191968525842993</v>
      </c>
      <c r="K18" s="14">
        <f>IFERROR(('Cuadro 9-Panamá'!G18)/('Cuadro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86.079784251431818</v>
      </c>
      <c r="L18" s="19">
        <f>IFERROR(('Cuadro 10-Panamá Oeste'!G18)/('Cuadro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6.6187361025402058</v>
      </c>
      <c r="M18" s="106">
        <f>IFERROR(('Cuadro 11-Veraguas'!G18)/('Cuadro 2-Bocas del Toro'!G18+'Cuadro 3-Coclé'!G18+'Cuadro 4-Colón'!G18+'Cuadro 5-Chiriquí'!G18+'Cuadro 6-Darién'!G18+'Cuadro 7-Herrera'!G18+'Cuadro 8-Los Santos'!G18+'Cuadro 9-Panamá'!G18+'Cuadro 10-Panamá Oeste'!G18+'Cuadro 11-Veraguas'!G18)*100,"")</f>
        <v>0.51944780191268802</v>
      </c>
      <c r="N18" s="47"/>
    </row>
    <row r="19" spans="1:14" ht="32.25" customHeight="1">
      <c r="A19" s="56" t="s">
        <v>59</v>
      </c>
      <c r="B19" s="60" t="s">
        <v>60</v>
      </c>
      <c r="C19" s="14">
        <f>IFERROR(('Cuadro 2-Bocas del Toro'!G19+'Cuadro 3-Coclé'!G19+'Cuadro 4-Colón'!G19+'Cuadro 5-Chiriquí'!G19+'Cuadro 6-Darién'!G19+'Cuadro 7-Herrera'!G19+'Cuadro 8-Los Santos'!G19+'Cuadro 9-Panamá'!G19+'Cuadro 10-Panamá Oeste'!G19+'Cuadro 11-Veraguas'!G19)/('Cuadro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100</v>
      </c>
      <c r="D19" s="14">
        <f>IFERROR(('Cuadro 2-Bocas del Toro'!G19)/('Cuadro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8.6598103192090433E-3</v>
      </c>
      <c r="E19" s="14">
        <f>IFERROR(('Cuadro 3-Coclé'!G19)/('Cuadro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6.3645009360598109E-2</v>
      </c>
      <c r="F19" s="14">
        <f>IFERROR(('Cuadro 4-Colón'!G19)/('Cuadro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0.22063984892274671</v>
      </c>
      <c r="G19" s="14">
        <f>IFERROR(('Cuadro 5-Chiriquí'!G19)/('Cuadro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2.7149858058075518</v>
      </c>
      <c r="H19" s="14">
        <f>IFERROR(('Cuadro 6-Darién'!G19)/('Cuadro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8.6598103192090433E-3</v>
      </c>
      <c r="I19" s="14">
        <f>IFERROR(('Cuadro 7-Herrera'!G19)/('Cuadro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0.62577766409883095</v>
      </c>
      <c r="J19" s="14">
        <f>IFERROR(('Cuadro 8-Los Santos'!G19)/('Cuadro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1.0824762899011308E-2</v>
      </c>
      <c r="K19" s="14">
        <f>IFERROR(('Cuadro 9-Panamá'!G19)/('Cuadro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94.973422019759752</v>
      </c>
      <c r="L19" s="19">
        <f>IFERROR(('Cuadro 10-Panamá Oeste'!G19)/('Cuadro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1.228796133935266</v>
      </c>
      <c r="M19" s="106">
        <f>IFERROR(('Cuadro 11-Veraguas'!G19)/('Cuadro 2-Bocas del Toro'!G19+'Cuadro 3-Coclé'!G19+'Cuadro 4-Colón'!G19+'Cuadro 5-Chiriquí'!G19+'Cuadro 6-Darién'!G19+'Cuadro 7-Herrera'!G19+'Cuadro 8-Los Santos'!G19+'Cuadro 9-Panamá'!G19+'Cuadro 10-Panamá Oeste'!G19+'Cuadro 11-Veraguas'!G19)*100,"")</f>
        <v>0.14458913457783887</v>
      </c>
      <c r="N19" s="47"/>
    </row>
    <row r="20" spans="1:14" ht="32.25" customHeight="1">
      <c r="A20" s="56" t="s">
        <v>66</v>
      </c>
      <c r="B20" s="60" t="s">
        <v>67</v>
      </c>
      <c r="C20" s="14">
        <f>IFERROR(('Cuadro 2-Bocas del Toro'!G20+'Cuadro 3-Coclé'!G20+'Cuadro 4-Colón'!G20+'Cuadro 5-Chiriquí'!G20+'Cuadro 6-Darién'!G20+'Cuadro 7-Herrera'!G20+'Cuadro 8-Los Santos'!G20+'Cuadro 9-Panamá'!G20+'Cuadro 10-Panamá Oeste'!G20+'Cuadro 11-Veraguas'!G20)/('Cuadro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100</v>
      </c>
      <c r="D20" s="14">
        <f>IFERROR(('Cuadro 2-Bocas del Toro'!G20)/('Cuadro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0.10724107775179043</v>
      </c>
      <c r="E20" s="14">
        <f>IFERROR(('Cuadro 3-Coclé'!G20)/('Cuadro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0.15017328349603495</v>
      </c>
      <c r="F20" s="14">
        <f>IFERROR(('Cuadro 4-Colón'!G20)/('Cuadro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4.2540896757587046</v>
      </c>
      <c r="G20" s="14">
        <f>IFERROR(('Cuadro 5-Chiriquí'!G20)/('Cuadro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0.61495166941045232</v>
      </c>
      <c r="H20" s="14">
        <f>IFERROR(('Cuadro 6-Darién'!G20)/('Cuadro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1.6531603352119019E-3</v>
      </c>
      <c r="I20" s="14">
        <f>IFERROR(('Cuadro 7-Herrera'!G20)/('Cuadro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0.15450090416775092</v>
      </c>
      <c r="J20" s="14">
        <f>IFERROR(('Cuadro 8-Los Santos'!G20)/('Cuadro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9.7506172397819266E-2</v>
      </c>
      <c r="K20" s="14">
        <f>IFERROR(('Cuadro 9-Panamá'!G20)/('Cuadro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93.723881045574942</v>
      </c>
      <c r="L20" s="19">
        <f>IFERROR(('Cuadro 10-Panamá Oeste'!G20)/('Cuadro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0.16673599524892838</v>
      </c>
      <c r="M20" s="106">
        <f>IFERROR(('Cuadro 11-Veraguas'!G20)/('Cuadro 2-Bocas del Toro'!G20+'Cuadro 3-Coclé'!G20+'Cuadro 4-Colón'!G20+'Cuadro 5-Chiriquí'!G20+'Cuadro 6-Darién'!G20+'Cuadro 7-Herrera'!G20+'Cuadro 8-Los Santos'!G20+'Cuadro 9-Panamá'!G20+'Cuadro 10-Panamá Oeste'!G20+'Cuadro 11-Veraguas'!G20)*100,"")</f>
        <v>0.72926701585836295</v>
      </c>
      <c r="N20" s="47"/>
    </row>
    <row r="21" spans="1:14" ht="32.25" customHeight="1">
      <c r="A21" s="66" t="s">
        <v>61</v>
      </c>
      <c r="B21" s="67" t="s">
        <v>62</v>
      </c>
      <c r="C21" s="145">
        <f>IFERROR(('Cuadro 2-Bocas del Toro'!G21+'Cuadro 3-Coclé'!G21+'Cuadro 4-Colón'!G21+'Cuadro 5-Chiriquí'!G21+'Cuadro 6-Darién'!G21+'Cuadro 7-Herrera'!G21+'Cuadro 8-Los Santos'!G21+'Cuadro 9-Panamá'!G21+'Cuadro 10-Panamá Oeste'!G21+'Cuadro 11-Veraguas'!G21)/('Cuadro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100</v>
      </c>
      <c r="D21" s="145">
        <f>IFERROR(('Cuadro 2-Bocas del Toro'!G21)/('Cuadro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2.7343553656697663</v>
      </c>
      <c r="E21" s="145">
        <f>IFERROR(('Cuadro 3-Coclé'!G21)/('Cuadro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9.5015498031331163</v>
      </c>
      <c r="F21" s="145">
        <f>IFERROR(('Cuadro 4-Colón'!G21)/('Cuadro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2.9203317416436305</v>
      </c>
      <c r="G21" s="145">
        <f>IFERROR(('Cuadro 5-Chiriquí'!G21)/('Cuadro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10.650917315908517</v>
      </c>
      <c r="H21" s="145">
        <f>IFERROR(('Cuadro 6-Darién'!G21)/('Cuadro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0.52777079668258375</v>
      </c>
      <c r="I21" s="145">
        <f>IFERROR(('Cuadro 7-Herrera'!G21)/('Cuadro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2.7611627712155475</v>
      </c>
      <c r="J21" s="145">
        <f>IFERROR(('Cuadro 8-Los Santos'!G21)/('Cuadro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2.8348831364664488</v>
      </c>
      <c r="K21" s="145">
        <f>IFERROR(('Cuadro 9-Panamá'!G21)/('Cuadro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42.972271089888586</v>
      </c>
      <c r="L21" s="132">
        <f>IFERROR(('Cuadro 10-Panamá Oeste'!G21)/('Cuadro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20.423892100192678</v>
      </c>
      <c r="M21" s="117">
        <f>IFERROR(('Cuadro 11-Veraguas'!G21)/('Cuadro 2-Bocas del Toro'!G21+'Cuadro 3-Coclé'!G21+'Cuadro 4-Colón'!G21+'Cuadro 5-Chiriquí'!G21+'Cuadro 6-Darién'!G21+'Cuadro 7-Herrera'!G21+'Cuadro 8-Los Santos'!G21+'Cuadro 9-Panamá'!G21+'Cuadro 10-Panamá Oeste'!G21+'Cuadro 11-Veraguas'!G21)*100,"")</f>
        <v>4.6728658791991267</v>
      </c>
      <c r="N21" s="47"/>
    </row>
    <row r="22" spans="1:14" ht="32.25" customHeight="1">
      <c r="A22" s="25"/>
      <c r="B22" s="22" t="s">
        <v>93</v>
      </c>
      <c r="C22" s="145">
        <f>IFERROR(('Cuadro 2-Bocas del Toro'!G22+'Cuadro 3-Coclé'!G22+'Cuadro 4-Colón'!G22+'Cuadro 5-Chiriquí'!G22+'Cuadro 6-Darién'!G22+'Cuadro 7-Herrera'!G22+'Cuadro 8-Los Santos'!G22+'Cuadro 9-Panamá'!G22+'Cuadro 10-Panamá Oeste'!G22+'Cuadro 11-Veraguas'!G22)/('Cuadro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100</v>
      </c>
      <c r="D22" s="145">
        <f>IFERROR(('Cuadro 2-Bocas del Toro'!G22)/('Cuadro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3.8559940933823413</v>
      </c>
      <c r="E22" s="145">
        <f>IFERROR(('Cuadro 3-Coclé'!G22)/('Cuadro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5.1374733158916897</v>
      </c>
      <c r="F22" s="145">
        <f>IFERROR(('Cuadro 4-Colón'!G22)/('Cuadro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6.1846139030223251</v>
      </c>
      <c r="G22" s="145">
        <f>IFERROR(('Cuadro 5-Chiriquí'!G22)/('Cuadro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10.420236585718182</v>
      </c>
      <c r="H22" s="145">
        <f>IFERROR(('Cuadro 6-Darién'!G22)/('Cuadro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1.2965667784857868</v>
      </c>
      <c r="I22" s="145">
        <f>IFERROR(('Cuadro 7-Herrera'!G22)/('Cuadro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3.5471807136092965</v>
      </c>
      <c r="J22" s="145">
        <f>IFERROR(('Cuadro 8-Los Santos'!G22)/('Cuadro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3.2316260854212491</v>
      </c>
      <c r="K22" s="145">
        <f>IFERROR(('Cuadro 9-Panamá'!G22)/('Cuadro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40.950837038344858</v>
      </c>
      <c r="L22" s="132">
        <f>IFERROR(('Cuadro 10-Panamá Oeste'!G22)/('Cuadro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17.894162399884433</v>
      </c>
      <c r="M22" s="117">
        <f>IFERROR(('Cuadro 11-Veraguas'!G22)/('Cuadro 2-Bocas del Toro'!G22+'Cuadro 3-Coclé'!G22+'Cuadro 4-Colón'!G22+'Cuadro 5-Chiriquí'!G22+'Cuadro 6-Darién'!G22+'Cuadro 7-Herrera'!G22+'Cuadro 8-Los Santos'!G22+'Cuadro 9-Panamá'!G22+'Cuadro 10-Panamá Oeste'!G22+'Cuadro 11-Veraguas'!G22)*100,"")</f>
        <v>7.4813090862398335</v>
      </c>
      <c r="N22" s="47"/>
    </row>
    <row r="23" spans="1:14" s="36" customFormat="1" ht="32.25" customHeight="1">
      <c r="A23" s="34"/>
      <c r="B23" s="27" t="s">
        <v>33</v>
      </c>
      <c r="C23" s="146">
        <f>IFERROR(('Cuadro 2-Bocas del Toro'!G23+'Cuadro 3-Coclé'!G23+'Cuadro 4-Colón'!G23+'Cuadro 5-Chiriquí'!G23+'Cuadro 6-Darién'!G23+'Cuadro 7-Herrera'!G23+'Cuadro 8-Los Santos'!G23+'Cuadro 9-Panamá'!G23+'Cuadro 10-Panamá Oeste'!G23+'Cuadro 11-Veraguas'!G23)/('Cuadro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100</v>
      </c>
      <c r="D23" s="146">
        <f>IFERROR(('Cuadro 2-Bocas del Toro'!G23)/('Cuadro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1.4764449711591612</v>
      </c>
      <c r="E23" s="146">
        <f>IFERROR(('Cuadro 3-Coclé'!G23)/('Cuadro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3.0180961243158189</v>
      </c>
      <c r="F23" s="146">
        <f>IFERROR(('Cuadro 4-Colón'!G23)/('Cuadro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17.154645050898161</v>
      </c>
      <c r="G23" s="146">
        <f>IFERROR(('Cuadro 5-Chiriquí'!G23)/('Cuadro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6.0770727397106956</v>
      </c>
      <c r="H23" s="146">
        <f>IFERROR(('Cuadro 6-Darién'!G23)/('Cuadro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0.3715126640583144</v>
      </c>
      <c r="I23" s="146">
        <f>IFERROR(('Cuadro 7-Herrera'!G23)/('Cuadro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1.2085639282450227</v>
      </c>
      <c r="J23" s="146">
        <f>IFERROR(('Cuadro 8-Los Santos'!G23)/('Cuadro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1.26048941686204</v>
      </c>
      <c r="K23" s="146">
        <f>IFERROR(('Cuadro 9-Panamá'!G23)/('Cuadro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56.634895126251628</v>
      </c>
      <c r="L23" s="144">
        <f>IFERROR(('Cuadro 10-Panamá Oeste'!G23)/('Cuadro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10.120162086503747</v>
      </c>
      <c r="M23" s="129">
        <f>IFERROR(('Cuadro 11-Veraguas'!G23)/('Cuadro 2-Bocas del Toro'!G23+'Cuadro 3-Coclé'!G23+'Cuadro 4-Colón'!G23+'Cuadro 5-Chiriquí'!G23+'Cuadro 6-Darién'!G23+'Cuadro 7-Herrera'!G23+'Cuadro 8-Los Santos'!G23+'Cuadro 9-Panamá'!G23+'Cuadro 10-Panamá Oeste'!G23+'Cuadro 11-Veraguas'!G23)*100,"")</f>
        <v>2.6781178919954289</v>
      </c>
      <c r="N23" s="47"/>
    </row>
    <row r="24" spans="1:14" ht="32.25" customHeight="1">
      <c r="A24" s="21" t="s">
        <v>25</v>
      </c>
      <c r="B24" s="37" t="s">
        <v>34</v>
      </c>
      <c r="C24" s="145">
        <f>IFERROR(('Cuadro 2-Bocas del Toro'!G24+'Cuadro 3-Coclé'!G24+'Cuadro 4-Colón'!G24+'Cuadro 5-Chiriquí'!G24+'Cuadro 6-Darién'!G24+'Cuadro 7-Herrera'!G24+'Cuadro 8-Los Santos'!G24+'Cuadro 9-Panamá'!G24+'Cuadro 10-Panamá Oeste'!G24+'Cuadro 11-Veraguas'!G24)/('Cuadro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100</v>
      </c>
      <c r="D24" s="145">
        <f>IFERROR(('Cuadro 2-Bocas del Toro'!G24)/('Cuadro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1.72194189790007</v>
      </c>
      <c r="E24" s="145">
        <f>IFERROR(('Cuadro 3-Coclé'!G24)/('Cuadro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3.0384701122110487</v>
      </c>
      <c r="F24" s="145">
        <f>IFERROR(('Cuadro 4-Colón'!G24)/('Cuadro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9.1009694846134934</v>
      </c>
      <c r="G24" s="145">
        <f>IFERROR(('Cuadro 5-Chiriquí'!G24)/('Cuadro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7.7089471351075662</v>
      </c>
      <c r="H24" s="145">
        <f>IFERROR(('Cuadro 6-Darién'!G24)/('Cuadro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0.2931604288492845</v>
      </c>
      <c r="I24" s="145">
        <f>IFERROR(('Cuadro 7-Herrera'!G24)/('Cuadro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1.956531914248822</v>
      </c>
      <c r="J24" s="145">
        <f>IFERROR(('Cuadro 8-Los Santos'!G24)/('Cuadro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1.3180663916601583</v>
      </c>
      <c r="K24" s="145">
        <f>IFERROR(('Cuadro 9-Panamá'!G24)/('Cuadro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57.723191902506557</v>
      </c>
      <c r="L24" s="132">
        <f>IFERROR(('Cuadro 10-Panamá Oeste'!G24)/('Cuadro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14.208722843583399</v>
      </c>
      <c r="M24" s="117">
        <f>IFERROR(('Cuadro 11-Veraguas'!G24)/('Cuadro 2-Bocas del Toro'!G24+'Cuadro 3-Coclé'!G24+'Cuadro 4-Colón'!G24+'Cuadro 5-Chiriquí'!G24+'Cuadro 6-Darién'!G24+'Cuadro 7-Herrera'!G24+'Cuadro 8-Los Santos'!G24+'Cuadro 9-Panamá'!G24+'Cuadro 10-Panamá Oeste'!G24+'Cuadro 11-Veraguas'!G24)*100,"")</f>
        <v>2.929997889319591</v>
      </c>
      <c r="N24" s="47"/>
    </row>
    <row r="25" spans="1:14" ht="50.25" customHeight="1">
      <c r="A25" s="30"/>
      <c r="B25" s="38" t="s">
        <v>35</v>
      </c>
      <c r="C25" s="146">
        <f>IFERROR(('Cuadro 2-Bocas del Toro'!G25+'Cuadro 3-Coclé'!G25+'Cuadro 4-Colón'!G25+'Cuadro 5-Chiriquí'!G25+'Cuadro 6-Darién'!G25+'Cuadro 7-Herrera'!G25+'Cuadro 8-Los Santos'!G25+'Cuadro 9-Panamá'!G25+'Cuadro 10-Panamá Oeste'!G25+'Cuadro 11-Veraguas'!G25)/('Cuadro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100</v>
      </c>
      <c r="D25" s="146">
        <f>IFERROR(('Cuadro 2-Bocas del Toro'!G25)/('Cuadro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1.4829837164539796</v>
      </c>
      <c r="E25" s="146">
        <f>IFERROR(('Cuadro 3-Coclé'!G25)/('Cuadro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3.0188202938107822</v>
      </c>
      <c r="F25" s="146">
        <f>IFERROR(('Cuadro 4-Colón'!G25)/('Cuadro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16.928668289559702</v>
      </c>
      <c r="G25" s="146">
        <f>IFERROR(('Cuadro 5-Chiriquí'!G25)/('Cuadro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6.1233055971294226</v>
      </c>
      <c r="H25" s="146">
        <f>IFERROR(('Cuadro 6-Darién'!G25)/('Cuadro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0.36933652842224063</v>
      </c>
      <c r="I25" s="146">
        <f>IFERROR(('Cuadro 7-Herrera'!G25)/('Cuadro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1.2300198996906764</v>
      </c>
      <c r="J25" s="146">
        <f>IFERROR(('Cuadro 8-Los Santos'!G25)/('Cuadro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1.262189339411895</v>
      </c>
      <c r="K25" s="146">
        <f>IFERROR(('Cuadro 9-Panamá'!G25)/('Cuadro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56.66396267269446</v>
      </c>
      <c r="L25" s="144">
        <f>IFERROR(('Cuadro 10-Panamá Oeste'!G25)/('Cuadro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10.235055176860024</v>
      </c>
      <c r="M25" s="129">
        <f>IFERROR(('Cuadro 11-Veraguas'!G25)/('Cuadro 2-Bocas del Toro'!G25+'Cuadro 3-Coclé'!G25+'Cuadro 4-Colón'!G25+'Cuadro 5-Chiriquí'!G25+'Cuadro 6-Darién'!G25+'Cuadro 7-Herrera'!G25+'Cuadro 8-Los Santos'!G25+'Cuadro 9-Panamá'!G25+'Cuadro 10-Panamá Oeste'!G25+'Cuadro 11-Veraguas'!G25)*100,"")</f>
        <v>2.6856584859668318</v>
      </c>
      <c r="N25" s="47"/>
    </row>
    <row r="26" spans="1:14" ht="13.5" customHeight="1">
      <c r="A26" s="7"/>
      <c r="B26" s="17"/>
      <c r="C26" s="39"/>
      <c r="D26" s="41"/>
      <c r="E26" s="39"/>
      <c r="F26" s="39"/>
      <c r="G26" s="39"/>
      <c r="H26" s="39"/>
      <c r="I26" s="39"/>
      <c r="J26" s="39"/>
      <c r="K26" s="39"/>
      <c r="L26" s="39"/>
      <c r="M26" s="39"/>
      <c r="N26" s="113"/>
    </row>
    <row r="27" spans="1:14" ht="13.5" customHeight="1">
      <c r="A27" s="222" t="s">
        <v>65</v>
      </c>
      <c r="B27" s="222"/>
      <c r="C27" s="222"/>
      <c r="D27" s="222"/>
      <c r="E27" s="222"/>
      <c r="F27" s="222"/>
      <c r="G27" s="9"/>
      <c r="H27" s="9"/>
      <c r="I27" s="8"/>
      <c r="J27" s="8"/>
      <c r="K27" s="8"/>
      <c r="L27" s="8"/>
    </row>
    <row r="28" spans="1:14" s="9" customFormat="1" ht="13.5" customHeight="1">
      <c r="A28" s="64" t="s">
        <v>82</v>
      </c>
      <c r="B28" s="43"/>
      <c r="C28" s="43"/>
      <c r="D28" s="43"/>
      <c r="E28" s="43"/>
      <c r="F28" s="43"/>
      <c r="I28" s="12"/>
      <c r="J28" s="12"/>
      <c r="K28" s="12"/>
      <c r="L28" s="12"/>
      <c r="N28" s="92"/>
    </row>
    <row r="29" spans="1:14" s="9" customFormat="1" ht="13.5" customHeight="1">
      <c r="A29" s="64" t="s">
        <v>81</v>
      </c>
      <c r="B29" s="43"/>
      <c r="C29" s="43"/>
      <c r="D29" s="43"/>
      <c r="E29" s="43"/>
      <c r="F29" s="43"/>
      <c r="I29" s="10"/>
      <c r="J29" s="10"/>
      <c r="K29" s="1"/>
      <c r="L29" s="1"/>
      <c r="N29" s="92"/>
    </row>
    <row r="30" spans="1:14" s="9" customFormat="1" ht="13.5" customHeight="1">
      <c r="A30" s="64" t="s">
        <v>351</v>
      </c>
      <c r="B30" s="64"/>
      <c r="C30" s="64"/>
      <c r="D30" s="64"/>
      <c r="E30" s="64"/>
      <c r="F30" s="64"/>
      <c r="I30" s="10"/>
      <c r="J30" s="10"/>
      <c r="K30" s="1"/>
      <c r="L30" s="1"/>
      <c r="N30" s="92"/>
    </row>
    <row r="31" spans="1:14" s="9" customFormat="1" ht="13.5" customHeight="1">
      <c r="A31" s="64" t="s">
        <v>98</v>
      </c>
      <c r="B31" s="64"/>
      <c r="C31" s="64"/>
      <c r="D31" s="64"/>
      <c r="E31" s="64"/>
      <c r="F31" s="64"/>
      <c r="G31" s="10"/>
      <c r="H31" s="10"/>
      <c r="I31" s="10"/>
      <c r="J31" s="10"/>
      <c r="K31" s="1"/>
      <c r="L31" s="1"/>
      <c r="N31" s="92"/>
    </row>
    <row r="32" spans="1:14" s="9" customFormat="1" ht="13.5" customHeight="1">
      <c r="A32" s="18" t="s">
        <v>99</v>
      </c>
      <c r="B32" s="45"/>
      <c r="G32" s="10"/>
      <c r="H32" s="10"/>
      <c r="I32" s="10"/>
      <c r="J32" s="10"/>
      <c r="K32" s="1"/>
      <c r="L32" s="1"/>
      <c r="N32" s="92"/>
    </row>
    <row r="33" spans="1:14" s="9" customFormat="1" ht="13.5" customHeight="1">
      <c r="A33" s="18" t="s">
        <v>36</v>
      </c>
      <c r="B33" s="104"/>
      <c r="G33" s="10"/>
      <c r="H33" s="10"/>
      <c r="I33" s="10"/>
      <c r="J33" s="10"/>
      <c r="K33" s="1"/>
      <c r="L33" s="1"/>
      <c r="N33" s="92"/>
    </row>
    <row r="34" spans="1:14" s="9" customFormat="1" ht="13.5" customHeight="1">
      <c r="A34" s="9" t="s">
        <v>37</v>
      </c>
      <c r="B34" s="46"/>
      <c r="C34" s="100"/>
      <c r="D34" s="100"/>
      <c r="E34" s="101"/>
      <c r="F34" s="101"/>
      <c r="G34" s="10"/>
      <c r="H34" s="10"/>
      <c r="I34" s="10"/>
      <c r="J34" s="10"/>
      <c r="K34" s="1"/>
      <c r="L34" s="1"/>
      <c r="N34" s="92"/>
    </row>
    <row r="35" spans="1:14" ht="13.5" customHeight="1">
      <c r="A35" s="9" t="s">
        <v>86</v>
      </c>
      <c r="B35" s="101"/>
      <c r="C35" s="100"/>
      <c r="D35" s="100"/>
      <c r="E35" s="101"/>
      <c r="F35" s="101"/>
      <c r="G35" s="103"/>
      <c r="H35" s="103"/>
      <c r="I35" s="103"/>
      <c r="J35" s="103"/>
      <c r="K35" s="103"/>
      <c r="L35" s="103"/>
      <c r="M35" s="103"/>
    </row>
    <row r="36" spans="1:14" ht="13.5" customHeight="1">
      <c r="A36" s="18"/>
      <c r="B36" s="64"/>
      <c r="C36" s="64"/>
      <c r="D36" s="64"/>
      <c r="E36" s="100"/>
      <c r="F36" s="100"/>
      <c r="G36" s="48"/>
      <c r="H36" s="48"/>
      <c r="I36" s="48"/>
      <c r="J36" s="48"/>
      <c r="K36" s="48"/>
      <c r="L36" s="48"/>
      <c r="M36" s="48"/>
    </row>
    <row r="37" spans="1:14" ht="13.5" customHeight="1">
      <c r="A37" s="64"/>
      <c r="B37" s="118"/>
      <c r="C37" s="118"/>
      <c r="D37" s="118"/>
      <c r="E37" s="118"/>
      <c r="F37" s="118"/>
      <c r="G37" s="51"/>
      <c r="H37" s="51"/>
      <c r="I37" s="51"/>
      <c r="J37" s="51"/>
      <c r="K37" s="51"/>
      <c r="L37" s="51"/>
      <c r="M37" s="51"/>
    </row>
    <row r="38" spans="1:14">
      <c r="A38" s="18"/>
      <c r="D38" s="103"/>
      <c r="E38" s="103"/>
      <c r="F38" s="103"/>
      <c r="G38" s="51"/>
      <c r="H38" s="51"/>
      <c r="I38" s="51"/>
      <c r="J38" s="51"/>
      <c r="K38" s="51"/>
      <c r="L38" s="51"/>
      <c r="M38" s="51"/>
    </row>
    <row r="39" spans="1:14">
      <c r="C39" s="48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4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</sheetData>
  <mergeCells count="4">
    <mergeCell ref="A27:F27"/>
    <mergeCell ref="A5:A6"/>
    <mergeCell ref="C5:M5"/>
    <mergeCell ref="B5:B6"/>
  </mergeCells>
  <hyperlinks>
    <hyperlink ref="O5" location="Índice!A1" display="Índice"/>
  </hyperlinks>
  <printOptions horizontalCentered="1"/>
  <pageMargins left="0.70866141732283472" right="0.70866141732283472" top="0.74803149606299213" bottom="0.74803149606299213" header="0.31496062992125984" footer="0.31496062992125984"/>
  <pageSetup scale="37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pageSetUpPr fitToPage="1"/>
  </sheetPr>
  <dimension ref="A1:O40"/>
  <sheetViews>
    <sheetView zoomScaleNormal="100" zoomScaleSheetLayoutView="62" workbookViewId="0"/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89"/>
    <col min="15" max="241" width="11" style="1"/>
    <col min="242" max="242" width="17" style="1" customWidth="1"/>
    <col min="243" max="243" width="48.28515625" style="1" customWidth="1"/>
    <col min="244" max="250" width="13.5703125" style="1" customWidth="1"/>
    <col min="251" max="251" width="15.42578125" style="1" customWidth="1"/>
    <col min="252" max="254" width="13.5703125" style="1" customWidth="1"/>
    <col min="255" max="497" width="11" style="1"/>
    <col min="498" max="498" width="17" style="1" customWidth="1"/>
    <col min="499" max="499" width="48.28515625" style="1" customWidth="1"/>
    <col min="500" max="506" width="13.5703125" style="1" customWidth="1"/>
    <col min="507" max="507" width="15.42578125" style="1" customWidth="1"/>
    <col min="508" max="510" width="13.5703125" style="1" customWidth="1"/>
    <col min="511" max="753" width="11" style="1"/>
    <col min="754" max="754" width="17" style="1" customWidth="1"/>
    <col min="755" max="755" width="48.28515625" style="1" customWidth="1"/>
    <col min="756" max="762" width="13.5703125" style="1" customWidth="1"/>
    <col min="763" max="763" width="15.42578125" style="1" customWidth="1"/>
    <col min="764" max="766" width="13.5703125" style="1" customWidth="1"/>
    <col min="767" max="1009" width="11" style="1"/>
    <col min="1010" max="1010" width="17" style="1" customWidth="1"/>
    <col min="1011" max="1011" width="48.28515625" style="1" customWidth="1"/>
    <col min="1012" max="1018" width="13.5703125" style="1" customWidth="1"/>
    <col min="1019" max="1019" width="15.42578125" style="1" customWidth="1"/>
    <col min="1020" max="1022" width="13.5703125" style="1" customWidth="1"/>
    <col min="1023" max="1265" width="11" style="1"/>
    <col min="1266" max="1266" width="17" style="1" customWidth="1"/>
    <col min="1267" max="1267" width="48.28515625" style="1" customWidth="1"/>
    <col min="1268" max="1274" width="13.5703125" style="1" customWidth="1"/>
    <col min="1275" max="1275" width="15.42578125" style="1" customWidth="1"/>
    <col min="1276" max="1278" width="13.5703125" style="1" customWidth="1"/>
    <col min="1279" max="1521" width="11" style="1"/>
    <col min="1522" max="1522" width="17" style="1" customWidth="1"/>
    <col min="1523" max="1523" width="48.28515625" style="1" customWidth="1"/>
    <col min="1524" max="1530" width="13.5703125" style="1" customWidth="1"/>
    <col min="1531" max="1531" width="15.42578125" style="1" customWidth="1"/>
    <col min="1532" max="1534" width="13.5703125" style="1" customWidth="1"/>
    <col min="1535" max="1777" width="11" style="1"/>
    <col min="1778" max="1778" width="17" style="1" customWidth="1"/>
    <col min="1779" max="1779" width="48.28515625" style="1" customWidth="1"/>
    <col min="1780" max="1786" width="13.5703125" style="1" customWidth="1"/>
    <col min="1787" max="1787" width="15.42578125" style="1" customWidth="1"/>
    <col min="1788" max="1790" width="13.5703125" style="1" customWidth="1"/>
    <col min="1791" max="2033" width="11" style="1"/>
    <col min="2034" max="2034" width="17" style="1" customWidth="1"/>
    <col min="2035" max="2035" width="48.28515625" style="1" customWidth="1"/>
    <col min="2036" max="2042" width="13.5703125" style="1" customWidth="1"/>
    <col min="2043" max="2043" width="15.42578125" style="1" customWidth="1"/>
    <col min="2044" max="2046" width="13.5703125" style="1" customWidth="1"/>
    <col min="2047" max="2289" width="11" style="1"/>
    <col min="2290" max="2290" width="17" style="1" customWidth="1"/>
    <col min="2291" max="2291" width="48.28515625" style="1" customWidth="1"/>
    <col min="2292" max="2298" width="13.5703125" style="1" customWidth="1"/>
    <col min="2299" max="2299" width="15.42578125" style="1" customWidth="1"/>
    <col min="2300" max="2302" width="13.5703125" style="1" customWidth="1"/>
    <col min="2303" max="2545" width="11" style="1"/>
    <col min="2546" max="2546" width="17" style="1" customWidth="1"/>
    <col min="2547" max="2547" width="48.28515625" style="1" customWidth="1"/>
    <col min="2548" max="2554" width="13.5703125" style="1" customWidth="1"/>
    <col min="2555" max="2555" width="15.42578125" style="1" customWidth="1"/>
    <col min="2556" max="2558" width="13.5703125" style="1" customWidth="1"/>
    <col min="2559" max="2801" width="11" style="1"/>
    <col min="2802" max="2802" width="17" style="1" customWidth="1"/>
    <col min="2803" max="2803" width="48.28515625" style="1" customWidth="1"/>
    <col min="2804" max="2810" width="13.5703125" style="1" customWidth="1"/>
    <col min="2811" max="2811" width="15.42578125" style="1" customWidth="1"/>
    <col min="2812" max="2814" width="13.5703125" style="1" customWidth="1"/>
    <col min="2815" max="3057" width="11" style="1"/>
    <col min="3058" max="3058" width="17" style="1" customWidth="1"/>
    <col min="3059" max="3059" width="48.28515625" style="1" customWidth="1"/>
    <col min="3060" max="3066" width="13.5703125" style="1" customWidth="1"/>
    <col min="3067" max="3067" width="15.42578125" style="1" customWidth="1"/>
    <col min="3068" max="3070" width="13.5703125" style="1" customWidth="1"/>
    <col min="3071" max="3313" width="11" style="1"/>
    <col min="3314" max="3314" width="17" style="1" customWidth="1"/>
    <col min="3315" max="3315" width="48.28515625" style="1" customWidth="1"/>
    <col min="3316" max="3322" width="13.5703125" style="1" customWidth="1"/>
    <col min="3323" max="3323" width="15.42578125" style="1" customWidth="1"/>
    <col min="3324" max="3326" width="13.5703125" style="1" customWidth="1"/>
    <col min="3327" max="3569" width="11" style="1"/>
    <col min="3570" max="3570" width="17" style="1" customWidth="1"/>
    <col min="3571" max="3571" width="48.28515625" style="1" customWidth="1"/>
    <col min="3572" max="3578" width="13.5703125" style="1" customWidth="1"/>
    <col min="3579" max="3579" width="15.42578125" style="1" customWidth="1"/>
    <col min="3580" max="3582" width="13.5703125" style="1" customWidth="1"/>
    <col min="3583" max="3825" width="11" style="1"/>
    <col min="3826" max="3826" width="17" style="1" customWidth="1"/>
    <col min="3827" max="3827" width="48.28515625" style="1" customWidth="1"/>
    <col min="3828" max="3834" width="13.5703125" style="1" customWidth="1"/>
    <col min="3835" max="3835" width="15.42578125" style="1" customWidth="1"/>
    <col min="3836" max="3838" width="13.5703125" style="1" customWidth="1"/>
    <col min="3839" max="4081" width="11" style="1"/>
    <col min="4082" max="4082" width="17" style="1" customWidth="1"/>
    <col min="4083" max="4083" width="48.28515625" style="1" customWidth="1"/>
    <col min="4084" max="4090" width="13.5703125" style="1" customWidth="1"/>
    <col min="4091" max="4091" width="15.42578125" style="1" customWidth="1"/>
    <col min="4092" max="4094" width="13.5703125" style="1" customWidth="1"/>
    <col min="4095" max="4337" width="11" style="1"/>
    <col min="4338" max="4338" width="17" style="1" customWidth="1"/>
    <col min="4339" max="4339" width="48.28515625" style="1" customWidth="1"/>
    <col min="4340" max="4346" width="13.5703125" style="1" customWidth="1"/>
    <col min="4347" max="4347" width="15.42578125" style="1" customWidth="1"/>
    <col min="4348" max="4350" width="13.5703125" style="1" customWidth="1"/>
    <col min="4351" max="4593" width="11" style="1"/>
    <col min="4594" max="4594" width="17" style="1" customWidth="1"/>
    <col min="4595" max="4595" width="48.28515625" style="1" customWidth="1"/>
    <col min="4596" max="4602" width="13.5703125" style="1" customWidth="1"/>
    <col min="4603" max="4603" width="15.42578125" style="1" customWidth="1"/>
    <col min="4604" max="4606" width="13.5703125" style="1" customWidth="1"/>
    <col min="4607" max="4849" width="11" style="1"/>
    <col min="4850" max="4850" width="17" style="1" customWidth="1"/>
    <col min="4851" max="4851" width="48.28515625" style="1" customWidth="1"/>
    <col min="4852" max="4858" width="13.5703125" style="1" customWidth="1"/>
    <col min="4859" max="4859" width="15.42578125" style="1" customWidth="1"/>
    <col min="4860" max="4862" width="13.5703125" style="1" customWidth="1"/>
    <col min="4863" max="5105" width="11" style="1"/>
    <col min="5106" max="5106" width="17" style="1" customWidth="1"/>
    <col min="5107" max="5107" width="48.28515625" style="1" customWidth="1"/>
    <col min="5108" max="5114" width="13.5703125" style="1" customWidth="1"/>
    <col min="5115" max="5115" width="15.42578125" style="1" customWidth="1"/>
    <col min="5116" max="5118" width="13.5703125" style="1" customWidth="1"/>
    <col min="5119" max="5361" width="11" style="1"/>
    <col min="5362" max="5362" width="17" style="1" customWidth="1"/>
    <col min="5363" max="5363" width="48.28515625" style="1" customWidth="1"/>
    <col min="5364" max="5370" width="13.5703125" style="1" customWidth="1"/>
    <col min="5371" max="5371" width="15.42578125" style="1" customWidth="1"/>
    <col min="5372" max="5374" width="13.5703125" style="1" customWidth="1"/>
    <col min="5375" max="5617" width="11" style="1"/>
    <col min="5618" max="5618" width="17" style="1" customWidth="1"/>
    <col min="5619" max="5619" width="48.28515625" style="1" customWidth="1"/>
    <col min="5620" max="5626" width="13.5703125" style="1" customWidth="1"/>
    <col min="5627" max="5627" width="15.42578125" style="1" customWidth="1"/>
    <col min="5628" max="5630" width="13.5703125" style="1" customWidth="1"/>
    <col min="5631" max="5873" width="11" style="1"/>
    <col min="5874" max="5874" width="17" style="1" customWidth="1"/>
    <col min="5875" max="5875" width="48.28515625" style="1" customWidth="1"/>
    <col min="5876" max="5882" width="13.5703125" style="1" customWidth="1"/>
    <col min="5883" max="5883" width="15.42578125" style="1" customWidth="1"/>
    <col min="5884" max="5886" width="13.5703125" style="1" customWidth="1"/>
    <col min="5887" max="6129" width="11" style="1"/>
    <col min="6130" max="6130" width="17" style="1" customWidth="1"/>
    <col min="6131" max="6131" width="48.28515625" style="1" customWidth="1"/>
    <col min="6132" max="6138" width="13.5703125" style="1" customWidth="1"/>
    <col min="6139" max="6139" width="15.42578125" style="1" customWidth="1"/>
    <col min="6140" max="6142" width="13.5703125" style="1" customWidth="1"/>
    <col min="6143" max="6385" width="11" style="1"/>
    <col min="6386" max="6386" width="17" style="1" customWidth="1"/>
    <col min="6387" max="6387" width="48.28515625" style="1" customWidth="1"/>
    <col min="6388" max="6394" width="13.5703125" style="1" customWidth="1"/>
    <col min="6395" max="6395" width="15.42578125" style="1" customWidth="1"/>
    <col min="6396" max="6398" width="13.5703125" style="1" customWidth="1"/>
    <col min="6399" max="6641" width="11" style="1"/>
    <col min="6642" max="6642" width="17" style="1" customWidth="1"/>
    <col min="6643" max="6643" width="48.28515625" style="1" customWidth="1"/>
    <col min="6644" max="6650" width="13.5703125" style="1" customWidth="1"/>
    <col min="6651" max="6651" width="15.42578125" style="1" customWidth="1"/>
    <col min="6652" max="6654" width="13.5703125" style="1" customWidth="1"/>
    <col min="6655" max="6897" width="11" style="1"/>
    <col min="6898" max="6898" width="17" style="1" customWidth="1"/>
    <col min="6899" max="6899" width="48.28515625" style="1" customWidth="1"/>
    <col min="6900" max="6906" width="13.5703125" style="1" customWidth="1"/>
    <col min="6907" max="6907" width="15.42578125" style="1" customWidth="1"/>
    <col min="6908" max="6910" width="13.5703125" style="1" customWidth="1"/>
    <col min="6911" max="7153" width="11" style="1"/>
    <col min="7154" max="7154" width="17" style="1" customWidth="1"/>
    <col min="7155" max="7155" width="48.28515625" style="1" customWidth="1"/>
    <col min="7156" max="7162" width="13.5703125" style="1" customWidth="1"/>
    <col min="7163" max="7163" width="15.42578125" style="1" customWidth="1"/>
    <col min="7164" max="7166" width="13.5703125" style="1" customWidth="1"/>
    <col min="7167" max="7409" width="11" style="1"/>
    <col min="7410" max="7410" width="17" style="1" customWidth="1"/>
    <col min="7411" max="7411" width="48.28515625" style="1" customWidth="1"/>
    <col min="7412" max="7418" width="13.5703125" style="1" customWidth="1"/>
    <col min="7419" max="7419" width="15.42578125" style="1" customWidth="1"/>
    <col min="7420" max="7422" width="13.5703125" style="1" customWidth="1"/>
    <col min="7423" max="7665" width="11" style="1"/>
    <col min="7666" max="7666" width="17" style="1" customWidth="1"/>
    <col min="7667" max="7667" width="48.28515625" style="1" customWidth="1"/>
    <col min="7668" max="7674" width="13.5703125" style="1" customWidth="1"/>
    <col min="7675" max="7675" width="15.42578125" style="1" customWidth="1"/>
    <col min="7676" max="7678" width="13.5703125" style="1" customWidth="1"/>
    <col min="7679" max="7921" width="11" style="1"/>
    <col min="7922" max="7922" width="17" style="1" customWidth="1"/>
    <col min="7923" max="7923" width="48.28515625" style="1" customWidth="1"/>
    <col min="7924" max="7930" width="13.5703125" style="1" customWidth="1"/>
    <col min="7931" max="7931" width="15.42578125" style="1" customWidth="1"/>
    <col min="7932" max="7934" width="13.5703125" style="1" customWidth="1"/>
    <col min="7935" max="8177" width="11" style="1"/>
    <col min="8178" max="8178" width="17" style="1" customWidth="1"/>
    <col min="8179" max="8179" width="48.28515625" style="1" customWidth="1"/>
    <col min="8180" max="8186" width="13.5703125" style="1" customWidth="1"/>
    <col min="8187" max="8187" width="15.42578125" style="1" customWidth="1"/>
    <col min="8188" max="8190" width="13.5703125" style="1" customWidth="1"/>
    <col min="8191" max="8433" width="11" style="1"/>
    <col min="8434" max="8434" width="17" style="1" customWidth="1"/>
    <col min="8435" max="8435" width="48.28515625" style="1" customWidth="1"/>
    <col min="8436" max="8442" width="13.5703125" style="1" customWidth="1"/>
    <col min="8443" max="8443" width="15.42578125" style="1" customWidth="1"/>
    <col min="8444" max="8446" width="13.5703125" style="1" customWidth="1"/>
    <col min="8447" max="8689" width="11" style="1"/>
    <col min="8690" max="8690" width="17" style="1" customWidth="1"/>
    <col min="8691" max="8691" width="48.28515625" style="1" customWidth="1"/>
    <col min="8692" max="8698" width="13.5703125" style="1" customWidth="1"/>
    <col min="8699" max="8699" width="15.42578125" style="1" customWidth="1"/>
    <col min="8700" max="8702" width="13.5703125" style="1" customWidth="1"/>
    <col min="8703" max="8945" width="11" style="1"/>
    <col min="8946" max="8946" width="17" style="1" customWidth="1"/>
    <col min="8947" max="8947" width="48.28515625" style="1" customWidth="1"/>
    <col min="8948" max="8954" width="13.5703125" style="1" customWidth="1"/>
    <col min="8955" max="8955" width="15.42578125" style="1" customWidth="1"/>
    <col min="8956" max="8958" width="13.5703125" style="1" customWidth="1"/>
    <col min="8959" max="9201" width="11" style="1"/>
    <col min="9202" max="9202" width="17" style="1" customWidth="1"/>
    <col min="9203" max="9203" width="48.28515625" style="1" customWidth="1"/>
    <col min="9204" max="9210" width="13.5703125" style="1" customWidth="1"/>
    <col min="9211" max="9211" width="15.42578125" style="1" customWidth="1"/>
    <col min="9212" max="9214" width="13.5703125" style="1" customWidth="1"/>
    <col min="9215" max="9457" width="11" style="1"/>
    <col min="9458" max="9458" width="17" style="1" customWidth="1"/>
    <col min="9459" max="9459" width="48.28515625" style="1" customWidth="1"/>
    <col min="9460" max="9466" width="13.5703125" style="1" customWidth="1"/>
    <col min="9467" max="9467" width="15.42578125" style="1" customWidth="1"/>
    <col min="9468" max="9470" width="13.5703125" style="1" customWidth="1"/>
    <col min="9471" max="9713" width="11" style="1"/>
    <col min="9714" max="9714" width="17" style="1" customWidth="1"/>
    <col min="9715" max="9715" width="48.28515625" style="1" customWidth="1"/>
    <col min="9716" max="9722" width="13.5703125" style="1" customWidth="1"/>
    <col min="9723" max="9723" width="15.42578125" style="1" customWidth="1"/>
    <col min="9724" max="9726" width="13.5703125" style="1" customWidth="1"/>
    <col min="9727" max="9969" width="11" style="1"/>
    <col min="9970" max="9970" width="17" style="1" customWidth="1"/>
    <col min="9971" max="9971" width="48.28515625" style="1" customWidth="1"/>
    <col min="9972" max="9978" width="13.5703125" style="1" customWidth="1"/>
    <col min="9979" max="9979" width="15.42578125" style="1" customWidth="1"/>
    <col min="9980" max="9982" width="13.5703125" style="1" customWidth="1"/>
    <col min="9983" max="10225" width="11" style="1"/>
    <col min="10226" max="10226" width="17" style="1" customWidth="1"/>
    <col min="10227" max="10227" width="48.28515625" style="1" customWidth="1"/>
    <col min="10228" max="10234" width="13.5703125" style="1" customWidth="1"/>
    <col min="10235" max="10235" width="15.42578125" style="1" customWidth="1"/>
    <col min="10236" max="10238" width="13.5703125" style="1" customWidth="1"/>
    <col min="10239" max="10481" width="11" style="1"/>
    <col min="10482" max="10482" width="17" style="1" customWidth="1"/>
    <col min="10483" max="10483" width="48.28515625" style="1" customWidth="1"/>
    <col min="10484" max="10490" width="13.5703125" style="1" customWidth="1"/>
    <col min="10491" max="10491" width="15.42578125" style="1" customWidth="1"/>
    <col min="10492" max="10494" width="13.5703125" style="1" customWidth="1"/>
    <col min="10495" max="10737" width="11" style="1"/>
    <col min="10738" max="10738" width="17" style="1" customWidth="1"/>
    <col min="10739" max="10739" width="48.28515625" style="1" customWidth="1"/>
    <col min="10740" max="10746" width="13.5703125" style="1" customWidth="1"/>
    <col min="10747" max="10747" width="15.42578125" style="1" customWidth="1"/>
    <col min="10748" max="10750" width="13.5703125" style="1" customWidth="1"/>
    <col min="10751" max="10993" width="11" style="1"/>
    <col min="10994" max="10994" width="17" style="1" customWidth="1"/>
    <col min="10995" max="10995" width="48.28515625" style="1" customWidth="1"/>
    <col min="10996" max="11002" width="13.5703125" style="1" customWidth="1"/>
    <col min="11003" max="11003" width="15.42578125" style="1" customWidth="1"/>
    <col min="11004" max="11006" width="13.5703125" style="1" customWidth="1"/>
    <col min="11007" max="11249" width="11" style="1"/>
    <col min="11250" max="11250" width="17" style="1" customWidth="1"/>
    <col min="11251" max="11251" width="48.28515625" style="1" customWidth="1"/>
    <col min="11252" max="11258" width="13.5703125" style="1" customWidth="1"/>
    <col min="11259" max="11259" width="15.42578125" style="1" customWidth="1"/>
    <col min="11260" max="11262" width="13.5703125" style="1" customWidth="1"/>
    <col min="11263" max="11505" width="11" style="1"/>
    <col min="11506" max="11506" width="17" style="1" customWidth="1"/>
    <col min="11507" max="11507" width="48.28515625" style="1" customWidth="1"/>
    <col min="11508" max="11514" width="13.5703125" style="1" customWidth="1"/>
    <col min="11515" max="11515" width="15.42578125" style="1" customWidth="1"/>
    <col min="11516" max="11518" width="13.5703125" style="1" customWidth="1"/>
    <col min="11519" max="11761" width="11" style="1"/>
    <col min="11762" max="11762" width="17" style="1" customWidth="1"/>
    <col min="11763" max="11763" width="48.28515625" style="1" customWidth="1"/>
    <col min="11764" max="11770" width="13.5703125" style="1" customWidth="1"/>
    <col min="11771" max="11771" width="15.42578125" style="1" customWidth="1"/>
    <col min="11772" max="11774" width="13.5703125" style="1" customWidth="1"/>
    <col min="11775" max="12017" width="11" style="1"/>
    <col min="12018" max="12018" width="17" style="1" customWidth="1"/>
    <col min="12019" max="12019" width="48.28515625" style="1" customWidth="1"/>
    <col min="12020" max="12026" width="13.5703125" style="1" customWidth="1"/>
    <col min="12027" max="12027" width="15.42578125" style="1" customWidth="1"/>
    <col min="12028" max="12030" width="13.5703125" style="1" customWidth="1"/>
    <col min="12031" max="12273" width="11" style="1"/>
    <col min="12274" max="12274" width="17" style="1" customWidth="1"/>
    <col min="12275" max="12275" width="48.28515625" style="1" customWidth="1"/>
    <col min="12276" max="12282" width="13.5703125" style="1" customWidth="1"/>
    <col min="12283" max="12283" width="15.42578125" style="1" customWidth="1"/>
    <col min="12284" max="12286" width="13.5703125" style="1" customWidth="1"/>
    <col min="12287" max="12529" width="11" style="1"/>
    <col min="12530" max="12530" width="17" style="1" customWidth="1"/>
    <col min="12531" max="12531" width="48.28515625" style="1" customWidth="1"/>
    <col min="12532" max="12538" width="13.5703125" style="1" customWidth="1"/>
    <col min="12539" max="12539" width="15.42578125" style="1" customWidth="1"/>
    <col min="12540" max="12542" width="13.5703125" style="1" customWidth="1"/>
    <col min="12543" max="12785" width="11" style="1"/>
    <col min="12786" max="12786" width="17" style="1" customWidth="1"/>
    <col min="12787" max="12787" width="48.28515625" style="1" customWidth="1"/>
    <col min="12788" max="12794" width="13.5703125" style="1" customWidth="1"/>
    <col min="12795" max="12795" width="15.42578125" style="1" customWidth="1"/>
    <col min="12796" max="12798" width="13.5703125" style="1" customWidth="1"/>
    <col min="12799" max="13041" width="11" style="1"/>
    <col min="13042" max="13042" width="17" style="1" customWidth="1"/>
    <col min="13043" max="13043" width="48.28515625" style="1" customWidth="1"/>
    <col min="13044" max="13050" width="13.5703125" style="1" customWidth="1"/>
    <col min="13051" max="13051" width="15.42578125" style="1" customWidth="1"/>
    <col min="13052" max="13054" width="13.5703125" style="1" customWidth="1"/>
    <col min="13055" max="13297" width="11" style="1"/>
    <col min="13298" max="13298" width="17" style="1" customWidth="1"/>
    <col min="13299" max="13299" width="48.28515625" style="1" customWidth="1"/>
    <col min="13300" max="13306" width="13.5703125" style="1" customWidth="1"/>
    <col min="13307" max="13307" width="15.42578125" style="1" customWidth="1"/>
    <col min="13308" max="13310" width="13.5703125" style="1" customWidth="1"/>
    <col min="13311" max="13553" width="11" style="1"/>
    <col min="13554" max="13554" width="17" style="1" customWidth="1"/>
    <col min="13555" max="13555" width="48.28515625" style="1" customWidth="1"/>
    <col min="13556" max="13562" width="13.5703125" style="1" customWidth="1"/>
    <col min="13563" max="13563" width="15.42578125" style="1" customWidth="1"/>
    <col min="13564" max="13566" width="13.5703125" style="1" customWidth="1"/>
    <col min="13567" max="13809" width="11" style="1"/>
    <col min="13810" max="13810" width="17" style="1" customWidth="1"/>
    <col min="13811" max="13811" width="48.28515625" style="1" customWidth="1"/>
    <col min="13812" max="13818" width="13.5703125" style="1" customWidth="1"/>
    <col min="13819" max="13819" width="15.42578125" style="1" customWidth="1"/>
    <col min="13820" max="13822" width="13.5703125" style="1" customWidth="1"/>
    <col min="13823" max="14065" width="11" style="1"/>
    <col min="14066" max="14066" width="17" style="1" customWidth="1"/>
    <col min="14067" max="14067" width="48.28515625" style="1" customWidth="1"/>
    <col min="14068" max="14074" width="13.5703125" style="1" customWidth="1"/>
    <col min="14075" max="14075" width="15.42578125" style="1" customWidth="1"/>
    <col min="14076" max="14078" width="13.5703125" style="1" customWidth="1"/>
    <col min="14079" max="14321" width="11" style="1"/>
    <col min="14322" max="14322" width="17" style="1" customWidth="1"/>
    <col min="14323" max="14323" width="48.28515625" style="1" customWidth="1"/>
    <col min="14324" max="14330" width="13.5703125" style="1" customWidth="1"/>
    <col min="14331" max="14331" width="15.42578125" style="1" customWidth="1"/>
    <col min="14332" max="14334" width="13.5703125" style="1" customWidth="1"/>
    <col min="14335" max="14577" width="11" style="1"/>
    <col min="14578" max="14578" width="17" style="1" customWidth="1"/>
    <col min="14579" max="14579" width="48.28515625" style="1" customWidth="1"/>
    <col min="14580" max="14586" width="13.5703125" style="1" customWidth="1"/>
    <col min="14587" max="14587" width="15.42578125" style="1" customWidth="1"/>
    <col min="14588" max="14590" width="13.5703125" style="1" customWidth="1"/>
    <col min="14591" max="14833" width="11" style="1"/>
    <col min="14834" max="14834" width="17" style="1" customWidth="1"/>
    <col min="14835" max="14835" width="48.28515625" style="1" customWidth="1"/>
    <col min="14836" max="14842" width="13.5703125" style="1" customWidth="1"/>
    <col min="14843" max="14843" width="15.42578125" style="1" customWidth="1"/>
    <col min="14844" max="14846" width="13.5703125" style="1" customWidth="1"/>
    <col min="14847" max="15089" width="11" style="1"/>
    <col min="15090" max="15090" width="17" style="1" customWidth="1"/>
    <col min="15091" max="15091" width="48.28515625" style="1" customWidth="1"/>
    <col min="15092" max="15098" width="13.5703125" style="1" customWidth="1"/>
    <col min="15099" max="15099" width="15.42578125" style="1" customWidth="1"/>
    <col min="15100" max="15102" width="13.5703125" style="1" customWidth="1"/>
    <col min="15103" max="15345" width="11" style="1"/>
    <col min="15346" max="15346" width="17" style="1" customWidth="1"/>
    <col min="15347" max="15347" width="48.28515625" style="1" customWidth="1"/>
    <col min="15348" max="15354" width="13.5703125" style="1" customWidth="1"/>
    <col min="15355" max="15355" width="15.42578125" style="1" customWidth="1"/>
    <col min="15356" max="15358" width="13.5703125" style="1" customWidth="1"/>
    <col min="15359" max="15601" width="11" style="1"/>
    <col min="15602" max="15602" width="17" style="1" customWidth="1"/>
    <col min="15603" max="15603" width="48.28515625" style="1" customWidth="1"/>
    <col min="15604" max="15610" width="13.5703125" style="1" customWidth="1"/>
    <col min="15611" max="15611" width="15.42578125" style="1" customWidth="1"/>
    <col min="15612" max="15614" width="13.5703125" style="1" customWidth="1"/>
    <col min="15615" max="15857" width="11" style="1"/>
    <col min="15858" max="15858" width="17" style="1" customWidth="1"/>
    <col min="15859" max="15859" width="48.28515625" style="1" customWidth="1"/>
    <col min="15860" max="15866" width="13.5703125" style="1" customWidth="1"/>
    <col min="15867" max="15867" width="15.42578125" style="1" customWidth="1"/>
    <col min="15868" max="15870" width="13.5703125" style="1" customWidth="1"/>
    <col min="15871" max="16113" width="11" style="1"/>
    <col min="16114" max="16114" width="17" style="1" customWidth="1"/>
    <col min="16115" max="16115" width="48.28515625" style="1" customWidth="1"/>
    <col min="16116" max="16122" width="13.5703125" style="1" customWidth="1"/>
    <col min="16123" max="16123" width="15.42578125" style="1" customWidth="1"/>
    <col min="16124" max="16126" width="13.5703125" style="1" customWidth="1"/>
    <col min="16127" max="16384" width="11" style="1"/>
  </cols>
  <sheetData>
    <row r="1" spans="1:15" ht="17.25" customHeight="1">
      <c r="A1" s="42" t="s">
        <v>182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O1" s="101"/>
    </row>
    <row r="2" spans="1:15" ht="17.25" customHeight="1">
      <c r="A2" s="191" t="s">
        <v>176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O2" s="101"/>
    </row>
    <row r="3" spans="1:15" s="9" customFormat="1" ht="17.25" customHeight="1">
      <c r="A3" s="185" t="s">
        <v>185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O3" s="13"/>
    </row>
    <row r="4" spans="1:15" s="7" customFormat="1" ht="17.25" customHeight="1" thickBot="1">
      <c r="A4" s="185" t="s">
        <v>216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14"/>
      <c r="O4" s="114"/>
    </row>
    <row r="5" spans="1:15" s="7" customFormat="1" ht="37.5" customHeight="1" thickTop="1">
      <c r="A5" s="217" t="s">
        <v>29</v>
      </c>
      <c r="B5" s="217" t="s">
        <v>30</v>
      </c>
      <c r="C5" s="219" t="s">
        <v>48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  <c r="N5" s="112"/>
      <c r="O5" s="193" t="s">
        <v>42</v>
      </c>
    </row>
    <row r="6" spans="1:15" s="7" customFormat="1" ht="37.5" customHeight="1" thickBot="1">
      <c r="A6" s="223"/>
      <c r="B6" s="223"/>
      <c r="C6" s="133" t="s">
        <v>49</v>
      </c>
      <c r="D6" s="134" t="s">
        <v>12</v>
      </c>
      <c r="E6" s="133" t="s">
        <v>13</v>
      </c>
      <c r="F6" s="133" t="s">
        <v>14</v>
      </c>
      <c r="G6" s="133" t="s">
        <v>15</v>
      </c>
      <c r="H6" s="134" t="s">
        <v>16</v>
      </c>
      <c r="I6" s="133" t="s">
        <v>17</v>
      </c>
      <c r="J6" s="133" t="s">
        <v>18</v>
      </c>
      <c r="K6" s="133" t="s">
        <v>19</v>
      </c>
      <c r="L6" s="134" t="s">
        <v>24</v>
      </c>
      <c r="M6" s="133" t="s">
        <v>21</v>
      </c>
      <c r="N6" s="58"/>
      <c r="O6" s="114"/>
    </row>
    <row r="7" spans="1:15" ht="32.25" customHeight="1" thickTop="1">
      <c r="A7" s="135" t="s">
        <v>0</v>
      </c>
      <c r="B7" s="136" t="s">
        <v>53</v>
      </c>
      <c r="C7" s="137">
        <f>IFERROR(('Cuadro 2-Bocas del Toro'!H7+'Cuadro 3-Coclé'!H7+'Cuadro 4-Colón'!H7+'Cuadro 5-Chiriquí'!H7+'Cuadro 6-Darién'!H7+'Cuadro 7-Herrera'!H7+'Cuadro 8-Los Santos'!H7+'Cuadro 9-Panamá'!H7+'Cuadro 10-Panamá Oeste'!H7+'Cuadro 11-Veraguas'!H7)/('Cuadro 2-Bocas del Toro'!H7+'Cuadro 3-Coclé'!H7+'Cuadro 4-Colón'!H7+'Cuadro 5-Chiriquí'!H7+'Cuadro 6-Darién'!H7+'Cuadro 7-Herrera'!H7+'Cuadro 8-Los Santos'!H7+'Cuadro 9-Panamá'!H7+'Cuadro 10-Panamá Oeste'!H7+'Cuadro 11-Veraguas'!H7)*100,"")</f>
        <v>100</v>
      </c>
      <c r="D7" s="137">
        <f>IFERROR(('Cuadro 2-Bocas del Toro'!H7)/('Cuadro 2-Bocas del Toro'!H7+'Cuadro 3-Coclé'!H7+'Cuadro 4-Colón'!H7+'Cuadro 5-Chiriquí'!H7+'Cuadro 6-Darién'!H7+'Cuadro 7-Herrera'!H7+'Cuadro 8-Los Santos'!H7+'Cuadro 9-Panamá'!H7+'Cuadro 10-Panamá Oeste'!H7+'Cuadro 11-Veraguas'!H7)*100,"")</f>
        <v>8.1952320299980936</v>
      </c>
      <c r="E7" s="137">
        <f>IFERROR(('Cuadro 3-Coclé'!H7)/('Cuadro 2-Bocas del Toro'!H7+'Cuadro 3-Coclé'!H7+'Cuadro 4-Colón'!H7+'Cuadro 5-Chiriquí'!H7+'Cuadro 6-Darién'!H7+'Cuadro 7-Herrera'!H7+'Cuadro 8-Los Santos'!H7+'Cuadro 9-Panamá'!H7+'Cuadro 10-Panamá Oeste'!H7+'Cuadro 11-Veraguas'!H7)*100,"")</f>
        <v>11.706022871095247</v>
      </c>
      <c r="F7" s="137">
        <f>IFERROR(('Cuadro 4-Colón'!H7)/('Cuadro 2-Bocas del Toro'!H7+'Cuadro 3-Coclé'!H7+'Cuadro 4-Colón'!H7+'Cuadro 5-Chiriquí'!H7+'Cuadro 6-Darién'!H7+'Cuadro 7-Herrera'!H7+'Cuadro 8-Los Santos'!H7+'Cuadro 9-Panamá'!H7+'Cuadro 10-Panamá Oeste'!H7+'Cuadro 11-Veraguas'!H7)*100,"")</f>
        <v>2.3979091298798791</v>
      </c>
      <c r="G7" s="137">
        <f>IFERROR(('Cuadro 5-Chiriquí'!H7)/('Cuadro 2-Bocas del Toro'!H7+'Cuadro 3-Coclé'!H7+'Cuadro 4-Colón'!H7+'Cuadro 5-Chiriquí'!H7+'Cuadro 6-Darién'!H7+'Cuadro 7-Herrera'!H7+'Cuadro 8-Los Santos'!H7+'Cuadro 9-Panamá'!H7+'Cuadro 10-Panamá Oeste'!H7+'Cuadro 11-Veraguas'!H7)*100,"")</f>
        <v>18.0996811890355</v>
      </c>
      <c r="H7" s="137">
        <f>IFERROR(('Cuadro 6-Darién'!H7)/('Cuadro 2-Bocas del Toro'!H7+'Cuadro 3-Coclé'!H7+'Cuadro 4-Colón'!H7+'Cuadro 5-Chiriquí'!H7+'Cuadro 6-Darién'!H7+'Cuadro 7-Herrera'!H7+'Cuadro 8-Los Santos'!H7+'Cuadro 9-Panamá'!H7+'Cuadro 10-Panamá Oeste'!H7+'Cuadro 11-Veraguas'!H7)*100,"")</f>
        <v>6.5001759514533877</v>
      </c>
      <c r="I7" s="137">
        <f>IFERROR(('Cuadro 7-Herrera'!H7)/('Cuadro 2-Bocas del Toro'!H7+'Cuadro 3-Coclé'!H7+'Cuadro 4-Colón'!H7+'Cuadro 5-Chiriquí'!H7+'Cuadro 6-Darién'!H7+'Cuadro 7-Herrera'!H7+'Cuadro 8-Los Santos'!H7+'Cuadro 9-Panamá'!H7+'Cuadro 10-Panamá Oeste'!H7+'Cuadro 11-Veraguas'!H7)*100,"")</f>
        <v>6.5929527751904153</v>
      </c>
      <c r="J7" s="137">
        <f>IFERROR(('Cuadro 8-Los Santos'!H7)/('Cuadro 2-Bocas del Toro'!H7+'Cuadro 3-Coclé'!H7+'Cuadro 4-Colón'!H7+'Cuadro 5-Chiriquí'!H7+'Cuadro 6-Darién'!H7+'Cuadro 7-Herrera'!H7+'Cuadro 8-Los Santos'!H7+'Cuadro 9-Panamá'!H7+'Cuadro 10-Panamá Oeste'!H7+'Cuadro 11-Veraguas'!H7)*100,"")</f>
        <v>11.182725654799889</v>
      </c>
      <c r="K7" s="137">
        <f>IFERROR(('Cuadro 9-Panamá'!H7)/('Cuadro 2-Bocas del Toro'!H7+'Cuadro 3-Coclé'!H7+'Cuadro 4-Colón'!H7+'Cuadro 5-Chiriquí'!H7+'Cuadro 6-Darién'!H7+'Cuadro 7-Herrera'!H7+'Cuadro 8-Los Santos'!H7+'Cuadro 9-Panamá'!H7+'Cuadro 10-Panamá Oeste'!H7+'Cuadro 11-Veraguas'!H7)*100,"")</f>
        <v>7.8214284928606093</v>
      </c>
      <c r="L7" s="138">
        <f>IFERROR(('Cuadro 10-Panamá Oeste'!H7)/('Cuadro 2-Bocas del Toro'!H7+'Cuadro 3-Coclé'!H7+'Cuadro 4-Colón'!H7+'Cuadro 5-Chiriquí'!H7+'Cuadro 6-Darién'!H7+'Cuadro 7-Herrera'!H7+'Cuadro 8-Los Santos'!H7+'Cuadro 9-Panamá'!H7+'Cuadro 10-Panamá Oeste'!H7+'Cuadro 11-Veraguas'!H7)*100,"")</f>
        <v>18.625531299700302</v>
      </c>
      <c r="M7" s="139">
        <f>IFERROR(('Cuadro 11-Veraguas'!H7)/('Cuadro 2-Bocas del Toro'!H7+'Cuadro 3-Coclé'!H7+'Cuadro 4-Colón'!H7+'Cuadro 5-Chiriquí'!H7+'Cuadro 6-Darién'!H7+'Cuadro 7-Herrera'!H7+'Cuadro 8-Los Santos'!H7+'Cuadro 9-Panamá'!H7+'Cuadro 10-Panamá Oeste'!H7+'Cuadro 11-Veraguas'!H7)*100,"")</f>
        <v>8.878340605986681</v>
      </c>
      <c r="N7" s="58"/>
    </row>
    <row r="8" spans="1:15" ht="32.25" customHeight="1">
      <c r="A8" s="56" t="s">
        <v>1</v>
      </c>
      <c r="B8" s="60" t="s">
        <v>31</v>
      </c>
      <c r="C8" s="14">
        <f>IFERROR(('Cuadro 2-Bocas del Toro'!H8+'Cuadro 3-Coclé'!H8+'Cuadro 4-Colón'!H8+'Cuadro 5-Chiriquí'!H8+'Cuadro 6-Darién'!H8+'Cuadro 7-Herrera'!H8+'Cuadro 8-Los Santos'!H8+'Cuadro 9-Panamá'!H8+'Cuadro 10-Panamá Oeste'!H8+'Cuadro 11-Veraguas'!H8)/('Cuadro 2-Bocas del Toro'!H8+'Cuadro 3-Coclé'!H8+'Cuadro 4-Colón'!H8+'Cuadro 5-Chiriquí'!H8+'Cuadro 6-Darién'!H8+'Cuadro 7-Herrera'!H8+'Cuadro 8-Los Santos'!H8+'Cuadro 9-Panamá'!H8+'Cuadro 10-Panamá Oeste'!H8+'Cuadro 11-Veraguas'!H8)*100,"")</f>
        <v>100</v>
      </c>
      <c r="D8" s="14">
        <f>IFERROR(('Cuadro 2-Bocas del Toro'!H8)/('Cuadro 2-Bocas del Toro'!H8+'Cuadro 3-Coclé'!H8+'Cuadro 4-Colón'!H8+'Cuadro 5-Chiriquí'!H8+'Cuadro 6-Darién'!H8+'Cuadro 7-Herrera'!H8+'Cuadro 8-Los Santos'!H8+'Cuadro 9-Panamá'!H8+'Cuadro 10-Panamá Oeste'!H8+'Cuadro 11-Veraguas'!H8)*100,"")</f>
        <v>0.23787965546172174</v>
      </c>
      <c r="E8" s="14">
        <f>IFERROR(('Cuadro 3-Coclé'!H8)/('Cuadro 2-Bocas del Toro'!H8+'Cuadro 3-Coclé'!H8+'Cuadro 4-Colón'!H8+'Cuadro 5-Chiriquí'!H8+'Cuadro 6-Darién'!H8+'Cuadro 7-Herrera'!H8+'Cuadro 8-Los Santos'!H8+'Cuadro 9-Panamá'!H8+'Cuadro 10-Panamá Oeste'!H8+'Cuadro 11-Veraguas'!H8)*100,"")</f>
        <v>1.5460238969319373</v>
      </c>
      <c r="F8" s="14">
        <f>IFERROR(('Cuadro 4-Colón'!H8)/('Cuadro 2-Bocas del Toro'!H8+'Cuadro 3-Coclé'!H8+'Cuadro 4-Colón'!H8+'Cuadro 5-Chiriquí'!H8+'Cuadro 6-Darién'!H8+'Cuadro 7-Herrera'!H8+'Cuadro 8-Los Santos'!H8+'Cuadro 9-Panamá'!H8+'Cuadro 10-Panamá Oeste'!H8+'Cuadro 11-Veraguas'!H8)*100,"")</f>
        <v>73.915080010468287</v>
      </c>
      <c r="G8" s="14">
        <f>IFERROR(('Cuadro 5-Chiriquí'!H8)/('Cuadro 2-Bocas del Toro'!H8+'Cuadro 3-Coclé'!H8+'Cuadro 4-Colón'!H8+'Cuadro 5-Chiriquí'!H8+'Cuadro 6-Darién'!H8+'Cuadro 7-Herrera'!H8+'Cuadro 8-Los Santos'!H8+'Cuadro 9-Panamá'!H8+'Cuadro 10-Panamá Oeste'!H8+'Cuadro 11-Veraguas'!H8)*100,"")</f>
        <v>2.8838245349511169</v>
      </c>
      <c r="H8" s="14">
        <f>IFERROR(('Cuadro 6-Darién'!H8)/('Cuadro 2-Bocas del Toro'!H8+'Cuadro 3-Coclé'!H8+'Cuadro 4-Colón'!H8+'Cuadro 5-Chiriquí'!H8+'Cuadro 6-Darién'!H8+'Cuadro 7-Herrera'!H8+'Cuadro 8-Los Santos'!H8+'Cuadro 9-Panamá'!H8+'Cuadro 10-Panamá Oeste'!H8+'Cuadro 11-Veraguas'!H8)*100,"")</f>
        <v>4.2693398887868612E-2</v>
      </c>
      <c r="I8" s="14">
        <f>IFERROR(('Cuadro 7-Herrera'!H8)/('Cuadro 2-Bocas del Toro'!H8+'Cuadro 3-Coclé'!H8+'Cuadro 4-Colón'!H8+'Cuadro 5-Chiriquí'!H8+'Cuadro 6-Darién'!H8+'Cuadro 7-Herrera'!H8+'Cuadro 8-Los Santos'!H8+'Cuadro 9-Panamá'!H8+'Cuadro 10-Panamá Oeste'!H8+'Cuadro 11-Veraguas'!H8)*100,"")</f>
        <v>0.35716829731021726</v>
      </c>
      <c r="J8" s="14">
        <f>IFERROR(('Cuadro 8-Los Santos'!H8)/('Cuadro 2-Bocas del Toro'!H8+'Cuadro 3-Coclé'!H8+'Cuadro 4-Colón'!H8+'Cuadro 5-Chiriquí'!H8+'Cuadro 6-Darién'!H8+'Cuadro 7-Herrera'!H8+'Cuadro 8-Los Santos'!H8+'Cuadro 9-Panamá'!H8+'Cuadro 10-Panamá Oeste'!H8+'Cuadro 11-Veraguas'!H8)*100,"")</f>
        <v>0.65780556163097026</v>
      </c>
      <c r="K8" s="14">
        <f>IFERROR(('Cuadro 9-Panamá'!H8)/('Cuadro 2-Bocas del Toro'!H8+'Cuadro 3-Coclé'!H8+'Cuadro 4-Colón'!H8+'Cuadro 5-Chiriquí'!H8+'Cuadro 6-Darién'!H8+'Cuadro 7-Herrera'!H8+'Cuadro 8-Los Santos'!H8+'Cuadro 9-Panamá'!H8+'Cuadro 10-Panamá Oeste'!H8+'Cuadro 11-Veraguas'!H8)*100,"")</f>
        <v>14.697389740316888</v>
      </c>
      <c r="L8" s="19">
        <f>IFERROR(('Cuadro 10-Panamá Oeste'!H8)/('Cuadro 2-Bocas del Toro'!H8+'Cuadro 3-Coclé'!H8+'Cuadro 4-Colón'!H8+'Cuadro 5-Chiriquí'!H8+'Cuadro 6-Darién'!H8+'Cuadro 7-Herrera'!H8+'Cuadro 8-Los Santos'!H8+'Cuadro 9-Panamá'!H8+'Cuadro 10-Panamá Oeste'!H8+'Cuadro 11-Veraguas'!H8)*100,"")</f>
        <v>4.8364816085564382</v>
      </c>
      <c r="M8" s="106">
        <f>IFERROR(('Cuadro 11-Veraguas'!H8)/('Cuadro 2-Bocas del Toro'!H8+'Cuadro 3-Coclé'!H8+'Cuadro 4-Colón'!H8+'Cuadro 5-Chiriquí'!H8+'Cuadro 6-Darién'!H8+'Cuadro 7-Herrera'!H8+'Cuadro 8-Los Santos'!H8+'Cuadro 9-Panamá'!H8+'Cuadro 10-Panamá Oeste'!H8+'Cuadro 11-Veraguas'!H8)*100,"")</f>
        <v>0.825653295484572</v>
      </c>
      <c r="N8" s="58"/>
    </row>
    <row r="9" spans="1:15" ht="32.25" customHeight="1">
      <c r="A9" s="56" t="s">
        <v>2</v>
      </c>
      <c r="B9" s="60" t="s">
        <v>3</v>
      </c>
      <c r="C9" s="14">
        <f>IFERROR(('Cuadro 2-Bocas del Toro'!H9+'Cuadro 3-Coclé'!H9+'Cuadro 4-Colón'!H9+'Cuadro 5-Chiriquí'!H9+'Cuadro 6-Darién'!H9+'Cuadro 7-Herrera'!H9+'Cuadro 8-Los Santos'!H9+'Cuadro 9-Panamá'!H9+'Cuadro 10-Panamá Oeste'!H9+'Cuadro 11-Veraguas'!H9)/('Cuadro 2-Bocas del Toro'!H9+'Cuadro 3-Coclé'!H9+'Cuadro 4-Colón'!H9+'Cuadro 5-Chiriquí'!H9+'Cuadro 6-Darién'!H9+'Cuadro 7-Herrera'!H9+'Cuadro 8-Los Santos'!H9+'Cuadro 9-Panamá'!H9+'Cuadro 10-Panamá Oeste'!H9+'Cuadro 11-Veraguas'!H9)*100,"")</f>
        <v>100</v>
      </c>
      <c r="D9" s="14">
        <f>IFERROR(('Cuadro 2-Bocas del Toro'!H9)/('Cuadro 2-Bocas del Toro'!H9+'Cuadro 3-Coclé'!H9+'Cuadro 4-Colón'!H9+'Cuadro 5-Chiriquí'!H9+'Cuadro 6-Darién'!H9+'Cuadro 7-Herrera'!H9+'Cuadro 8-Los Santos'!H9+'Cuadro 9-Panamá'!H9+'Cuadro 10-Panamá Oeste'!H9+'Cuadro 11-Veraguas'!H9)*100,"")</f>
        <v>1.6503772769400672E-2</v>
      </c>
      <c r="E9" s="14">
        <f>IFERROR(('Cuadro 3-Coclé'!H9)/('Cuadro 2-Bocas del Toro'!H9+'Cuadro 3-Coclé'!H9+'Cuadro 4-Colón'!H9+'Cuadro 5-Chiriquí'!H9+'Cuadro 6-Darién'!H9+'Cuadro 7-Herrera'!H9+'Cuadro 8-Los Santos'!H9+'Cuadro 9-Panamá'!H9+'Cuadro 10-Panamá Oeste'!H9+'Cuadro 11-Veraguas'!H9)*100,"")</f>
        <v>7.8961185570586636</v>
      </c>
      <c r="F9" s="14">
        <f>IFERROR(('Cuadro 4-Colón'!H9)/('Cuadro 2-Bocas del Toro'!H9+'Cuadro 3-Coclé'!H9+'Cuadro 4-Colón'!H9+'Cuadro 5-Chiriquí'!H9+'Cuadro 6-Darién'!H9+'Cuadro 7-Herrera'!H9+'Cuadro 8-Los Santos'!H9+'Cuadro 9-Panamá'!H9+'Cuadro 10-Panamá Oeste'!H9+'Cuadro 11-Veraguas'!H9)*100,"")</f>
        <v>2.1704620068069858</v>
      </c>
      <c r="G9" s="14">
        <f>IFERROR(('Cuadro 5-Chiriquí'!H9)/('Cuadro 2-Bocas del Toro'!H9+'Cuadro 3-Coclé'!H9+'Cuadro 4-Colón'!H9+'Cuadro 5-Chiriquí'!H9+'Cuadro 6-Darién'!H9+'Cuadro 7-Herrera'!H9+'Cuadro 8-Los Santos'!H9+'Cuadro 9-Panamá'!H9+'Cuadro 10-Panamá Oeste'!H9+'Cuadro 11-Veraguas'!H9)*100,"")</f>
        <v>5.9065391828164744</v>
      </c>
      <c r="H9" s="14">
        <f>IFERROR(('Cuadro 6-Darién'!H9)/('Cuadro 2-Bocas del Toro'!H9+'Cuadro 3-Coclé'!H9+'Cuadro 4-Colón'!H9+'Cuadro 5-Chiriquí'!H9+'Cuadro 6-Darién'!H9+'Cuadro 7-Herrera'!H9+'Cuadro 8-Los Santos'!H9+'Cuadro 9-Panamá'!H9+'Cuadro 10-Panamá Oeste'!H9+'Cuadro 11-Veraguas'!H9)*100,"")</f>
        <v>1.4171518133976478E-2</v>
      </c>
      <c r="I9" s="14">
        <f>IFERROR(('Cuadro 7-Herrera'!H9)/('Cuadro 2-Bocas del Toro'!H9+'Cuadro 3-Coclé'!H9+'Cuadro 4-Colón'!H9+'Cuadro 5-Chiriquí'!H9+'Cuadro 6-Darién'!H9+'Cuadro 7-Herrera'!H9+'Cuadro 8-Los Santos'!H9+'Cuadro 9-Panamá'!H9+'Cuadro 10-Panamá Oeste'!H9+'Cuadro 11-Veraguas'!H9)*100,"")</f>
        <v>1.0897543861275103</v>
      </c>
      <c r="J9" s="14">
        <f>IFERROR(('Cuadro 8-Los Santos'!H9)/('Cuadro 2-Bocas del Toro'!H9+'Cuadro 3-Coclé'!H9+'Cuadro 4-Colón'!H9+'Cuadro 5-Chiriquí'!H9+'Cuadro 6-Darién'!H9+'Cuadro 7-Herrera'!H9+'Cuadro 8-Los Santos'!H9+'Cuadro 9-Panamá'!H9+'Cuadro 10-Panamá Oeste'!H9+'Cuadro 11-Veraguas'!H9)*100,"")</f>
        <v>0.3747986379778</v>
      </c>
      <c r="K9" s="14">
        <f>IFERROR(('Cuadro 9-Panamá'!H9)/('Cuadro 2-Bocas del Toro'!H9+'Cuadro 3-Coclé'!H9+'Cuadro 4-Colón'!H9+'Cuadro 5-Chiriquí'!H9+'Cuadro 6-Darién'!H9+'Cuadro 7-Herrera'!H9+'Cuadro 8-Los Santos'!H9+'Cuadro 9-Panamá'!H9+'Cuadro 10-Panamá Oeste'!H9+'Cuadro 11-Veraguas'!H9)*100,"")</f>
        <v>61.563549708421853</v>
      </c>
      <c r="L9" s="19">
        <f>IFERROR(('Cuadro 10-Panamá Oeste'!H9)/('Cuadro 2-Bocas del Toro'!H9+'Cuadro 3-Coclé'!H9+'Cuadro 4-Colón'!H9+'Cuadro 5-Chiriquí'!H9+'Cuadro 6-Darién'!H9+'Cuadro 7-Herrera'!H9+'Cuadro 8-Los Santos'!H9+'Cuadro 9-Panamá'!H9+'Cuadro 10-Panamá Oeste'!H9+'Cuadro 11-Veraguas'!H9)*100,"")</f>
        <v>15.383187057822187</v>
      </c>
      <c r="M9" s="106">
        <f>IFERROR(('Cuadro 11-Veraguas'!H9)/('Cuadro 2-Bocas del Toro'!H9+'Cuadro 3-Coclé'!H9+'Cuadro 4-Colón'!H9+'Cuadro 5-Chiriquí'!H9+'Cuadro 6-Darién'!H9+'Cuadro 7-Herrera'!H9+'Cuadro 8-Los Santos'!H9+'Cuadro 9-Panamá'!H9+'Cuadro 10-Panamá Oeste'!H9+'Cuadro 11-Veraguas'!H9)*100,"")</f>
        <v>5.5849151720651564</v>
      </c>
      <c r="N9" s="47"/>
    </row>
    <row r="10" spans="1:15" ht="44.25" customHeight="1">
      <c r="A10" s="56" t="s">
        <v>68</v>
      </c>
      <c r="B10" s="60" t="s">
        <v>69</v>
      </c>
      <c r="C10" s="14">
        <f>IFERROR(('Cuadro 2-Bocas del Toro'!H10+'Cuadro 3-Coclé'!H10+'Cuadro 4-Colón'!H10+'Cuadro 5-Chiriquí'!H10+'Cuadro 6-Darién'!H10+'Cuadro 7-Herrera'!H10+'Cuadro 8-Los Santos'!H10+'Cuadro 9-Panamá'!H10+'Cuadro 10-Panamá Oeste'!H10+'Cuadro 11-Veraguas'!H10)/('Cuadro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100</v>
      </c>
      <c r="D10" s="14">
        <f>IFERROR(('Cuadro 2-Bocas del Toro'!H10)/('Cuadro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10.837308712029055</v>
      </c>
      <c r="E10" s="14">
        <f>IFERROR(('Cuadro 3-Coclé'!H10)/('Cuadro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8.4646650690446066</v>
      </c>
      <c r="F10" s="14">
        <f>IFERROR(('Cuadro 4-Colón'!H10)/('Cuadro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16.88146842394039</v>
      </c>
      <c r="G10" s="14">
        <f>IFERROR(('Cuadro 5-Chiriquí'!H10)/('Cuadro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22.291483192906743</v>
      </c>
      <c r="H10" s="14">
        <f>IFERROR(('Cuadro 6-Darién'!H10)/('Cuadro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0.14737339383098993</v>
      </c>
      <c r="I10" s="14">
        <f>IFERROR(('Cuadro 7-Herrera'!H10)/('Cuadro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2.9377393428632659</v>
      </c>
      <c r="J10" s="14">
        <f>IFERROR(('Cuadro 8-Los Santos'!H10)/('Cuadro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0.82452597602185851</v>
      </c>
      <c r="K10" s="14">
        <f>IFERROR(('Cuadro 9-Panamá'!H10)/('Cuadro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27.784514202324452</v>
      </c>
      <c r="L10" s="19">
        <f>IFERROR(('Cuadro 10-Panamá Oeste'!H10)/('Cuadro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8.2458657723325839</v>
      </c>
      <c r="M10" s="106">
        <f>IFERROR(('Cuadro 11-Veraguas'!H10)/('Cuadro 2-Bocas del Toro'!H10+'Cuadro 3-Coclé'!H10+'Cuadro 4-Colón'!H10+'Cuadro 5-Chiriquí'!H10+'Cuadro 6-Darién'!H10+'Cuadro 7-Herrera'!H10+'Cuadro 8-Los Santos'!H10+'Cuadro 9-Panamá'!H10+'Cuadro 10-Panamá Oeste'!H10+'Cuadro 11-Veraguas'!H10)*100,"")</f>
        <v>1.5850559147060632</v>
      </c>
      <c r="N10" s="47"/>
    </row>
    <row r="11" spans="1:15" ht="32.25" customHeight="1">
      <c r="A11" s="56" t="s">
        <v>4</v>
      </c>
      <c r="B11" s="60" t="s">
        <v>94</v>
      </c>
      <c r="C11" s="14">
        <f>IFERROR(('Cuadro 2-Bocas del Toro'!H11+'Cuadro 3-Coclé'!H11+'Cuadro 4-Colón'!H11+'Cuadro 5-Chiriquí'!H11+'Cuadro 6-Darién'!H11+'Cuadro 7-Herrera'!H11+'Cuadro 8-Los Santos'!H11+'Cuadro 9-Panamá'!H11+'Cuadro 10-Panamá Oeste'!H11+'Cuadro 11-Veraguas'!H11)/('Cuadro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100</v>
      </c>
      <c r="D11" s="14">
        <f>IFERROR(('Cuadro 2-Bocas del Toro'!H11)/('Cuadro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0.57081463623558115</v>
      </c>
      <c r="E11" s="14">
        <f>IFERROR(('Cuadro 3-Coclé'!H11)/('Cuadro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3.6968490229095785</v>
      </c>
      <c r="F11" s="14">
        <f>IFERROR(('Cuadro 4-Colón'!H11)/('Cuadro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14.148308585276819</v>
      </c>
      <c r="G11" s="14">
        <f>IFERROR(('Cuadro 5-Chiriquí'!H11)/('Cuadro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6.9200085635328739</v>
      </c>
      <c r="H11" s="14">
        <f>IFERROR(('Cuadro 6-Darién'!H11)/('Cuadro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0.10244683139689836</v>
      </c>
      <c r="I11" s="14">
        <f>IFERROR(('Cuadro 7-Herrera'!H11)/('Cuadro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0.84097524712663063</v>
      </c>
      <c r="J11" s="14">
        <f>IFERROR(('Cuadro 8-Los Santos'!H11)/('Cuadro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1.4793825483094709</v>
      </c>
      <c r="K11" s="14">
        <f>IFERROR(('Cuadro 9-Panamá'!H11)/('Cuadro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51.223258607025798</v>
      </c>
      <c r="L11" s="19">
        <f>IFERROR(('Cuadro 10-Panamá Oeste'!H11)/('Cuadro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19.036723117555397</v>
      </c>
      <c r="M11" s="106">
        <f>IFERROR(('Cuadro 11-Veraguas'!H11)/('Cuadro 2-Bocas del Toro'!H11+'Cuadro 3-Coclé'!H11+'Cuadro 4-Colón'!H11+'Cuadro 5-Chiriquí'!H11+'Cuadro 6-Darién'!H11+'Cuadro 7-Herrera'!H11+'Cuadro 8-Los Santos'!H11+'Cuadro 9-Panamá'!H11+'Cuadro 10-Panamá Oeste'!H11+'Cuadro 11-Veraguas'!H11)*100,"")</f>
        <v>1.9812328406309341</v>
      </c>
      <c r="N11" s="47"/>
    </row>
    <row r="12" spans="1:15" ht="41.25" customHeight="1">
      <c r="A12" s="56" t="s">
        <v>5</v>
      </c>
      <c r="B12" s="60" t="s">
        <v>54</v>
      </c>
      <c r="C12" s="14">
        <f>IFERROR(('Cuadro 2-Bocas del Toro'!H12+'Cuadro 3-Coclé'!H12+'Cuadro 4-Colón'!H12+'Cuadro 5-Chiriquí'!H12+'Cuadro 6-Darién'!H12+'Cuadro 7-Herrera'!H12+'Cuadro 8-Los Santos'!H12+'Cuadro 9-Panamá'!H12+'Cuadro 10-Panamá Oeste'!H12+'Cuadro 11-Veraguas'!H12)/('Cuadro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100</v>
      </c>
      <c r="D12" s="14">
        <f>IFERROR(('Cuadro 2-Bocas del Toro'!H12)/('Cuadro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0.14140626013282298</v>
      </c>
      <c r="E12" s="14">
        <f>IFERROR(('Cuadro 3-Coclé'!H12)/('Cuadro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0.80098472794804632</v>
      </c>
      <c r="F12" s="14">
        <f>IFERROR(('Cuadro 4-Colón'!H12)/('Cuadro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24.416695725684082</v>
      </c>
      <c r="G12" s="14">
        <f>IFERROR(('Cuadro 5-Chiriquí'!H12)/('Cuadro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3.4209332127053163</v>
      </c>
      <c r="H12" s="14">
        <f>IFERROR(('Cuadro 6-Darién'!H12)/('Cuadro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1.269483933637266E-2</v>
      </c>
      <c r="I12" s="14">
        <f>IFERROR(('Cuadro 7-Herrera'!H12)/('Cuadro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0.16098491733442669</v>
      </c>
      <c r="J12" s="14">
        <f>IFERROR(('Cuadro 8-Los Santos'!H12)/('Cuadro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0.10233720250620415</v>
      </c>
      <c r="K12" s="14">
        <f>IFERROR(('Cuadro 9-Panamá'!H12)/('Cuadro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68.27681837141651</v>
      </c>
      <c r="L12" s="19">
        <f>IFERROR(('Cuadro 10-Panamá Oeste'!H12)/('Cuadro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0.72785812462048238</v>
      </c>
      <c r="M12" s="106">
        <f>IFERROR(('Cuadro 11-Veraguas'!H12)/('Cuadro 2-Bocas del Toro'!H12+'Cuadro 3-Coclé'!H12+'Cuadro 4-Colón'!H12+'Cuadro 5-Chiriquí'!H12+'Cuadro 6-Darién'!H12+'Cuadro 7-Herrera'!H12+'Cuadro 8-Los Santos'!H12+'Cuadro 9-Panamá'!H12+'Cuadro 10-Panamá Oeste'!H12+'Cuadro 11-Veraguas'!H12)*100,"")</f>
        <v>1.9392866183157436</v>
      </c>
      <c r="N12" s="47"/>
    </row>
    <row r="13" spans="1:15" ht="32.25" customHeight="1">
      <c r="A13" s="56" t="s">
        <v>6</v>
      </c>
      <c r="B13" s="60" t="s">
        <v>55</v>
      </c>
      <c r="C13" s="14">
        <f>IFERROR(('Cuadro 2-Bocas del Toro'!H13+'Cuadro 3-Coclé'!H13+'Cuadro 4-Colón'!H13+'Cuadro 5-Chiriquí'!H13+'Cuadro 6-Darién'!H13+'Cuadro 7-Herrera'!H13+'Cuadro 8-Los Santos'!H13+'Cuadro 9-Panamá'!H13+'Cuadro 10-Panamá Oeste'!H13+'Cuadro 11-Veraguas'!H13)/('Cuadro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100</v>
      </c>
      <c r="D13" s="14">
        <f>IFERROR(('Cuadro 2-Bocas del Toro'!H13)/('Cuadro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0.84507880752307563</v>
      </c>
      <c r="E13" s="14">
        <f>IFERROR(('Cuadro 3-Coclé'!H13)/('Cuadro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0.8871111553289861</v>
      </c>
      <c r="F13" s="14">
        <f>IFERROR(('Cuadro 4-Colón'!H13)/('Cuadro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26.165345256607399</v>
      </c>
      <c r="G13" s="14">
        <f>IFERROR(('Cuadro 5-Chiriquí'!H13)/('Cuadro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3.1595728240503869</v>
      </c>
      <c r="H13" s="14">
        <f>IFERROR(('Cuadro 6-Darién'!H13)/('Cuadro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8.2616471376110619E-3</v>
      </c>
      <c r="I13" s="14">
        <f>IFERROR(('Cuadro 7-Herrera'!H13)/('Cuadro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0.46160132687161642</v>
      </c>
      <c r="J13" s="14">
        <f>IFERROR(('Cuadro 8-Los Santos'!H13)/('Cuadro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0.39881718574606873</v>
      </c>
      <c r="K13" s="14">
        <f>IFERROR(('Cuadro 9-Panamá'!H13)/('Cuadro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51.228606071220803</v>
      </c>
      <c r="L13" s="19">
        <f>IFERROR(('Cuadro 10-Panamá Oeste'!H13)/('Cuadro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15.850868385527283</v>
      </c>
      <c r="M13" s="106">
        <f>IFERROR(('Cuadro 11-Veraguas'!H13)/('Cuadro 2-Bocas del Toro'!H13+'Cuadro 3-Coclé'!H13+'Cuadro 4-Colón'!H13+'Cuadro 5-Chiriquí'!H13+'Cuadro 6-Darién'!H13+'Cuadro 7-Herrera'!H13+'Cuadro 8-Los Santos'!H13+'Cuadro 9-Panamá'!H13+'Cuadro 10-Panamá Oeste'!H13+'Cuadro 11-Veraguas'!H13)*100,"")</f>
        <v>0.99473733998676972</v>
      </c>
      <c r="N13" s="47"/>
    </row>
    <row r="14" spans="1:15" ht="32.25" customHeight="1">
      <c r="A14" s="56" t="s">
        <v>7</v>
      </c>
      <c r="B14" s="60" t="s">
        <v>32</v>
      </c>
      <c r="C14" s="14">
        <f>IFERROR(('Cuadro 2-Bocas del Toro'!H14+'Cuadro 3-Coclé'!H14+'Cuadro 4-Colón'!H14+'Cuadro 5-Chiriquí'!H14+'Cuadro 6-Darién'!H14+'Cuadro 7-Herrera'!H14+'Cuadro 8-Los Santos'!H14+'Cuadro 9-Panamá'!H14+'Cuadro 10-Panamá Oeste'!H14+'Cuadro 11-Veraguas'!H14)/('Cuadro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100</v>
      </c>
      <c r="D14" s="14">
        <f>IFERROR(('Cuadro 2-Bocas del Toro'!H14)/('Cuadro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0.49960721561231369</v>
      </c>
      <c r="E14" s="14">
        <f>IFERROR(('Cuadro 3-Coclé'!H14)/('Cuadro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4.9212381805304277</v>
      </c>
      <c r="F14" s="14">
        <f>IFERROR(('Cuadro 4-Colón'!H14)/('Cuadro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0.86318055597277932</v>
      </c>
      <c r="G14" s="14">
        <f>IFERROR(('Cuadro 5-Chiriquí'!H14)/('Cuadro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2.9194525446004969</v>
      </c>
      <c r="H14" s="14">
        <f>IFERROR(('Cuadro 6-Darién'!H14)/('Cuadro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3.9835348658155151E-3</v>
      </c>
      <c r="I14" s="14">
        <f>IFERROR(('Cuadro 7-Herrera'!H14)/('Cuadro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0.49265691862165684</v>
      </c>
      <c r="J14" s="14">
        <f>IFERROR(('Cuadro 8-Los Santos'!H14)/('Cuadro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0.39451091420306289</v>
      </c>
      <c r="K14" s="14">
        <f>IFERROR(('Cuadro 9-Panamá'!H14)/('Cuadro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84.219664722019118</v>
      </c>
      <c r="L14" s="19">
        <f>IFERROR(('Cuadro 10-Panamá Oeste'!H14)/('Cuadro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2.7086375986393829</v>
      </c>
      <c r="M14" s="106">
        <f>IFERROR(('Cuadro 11-Veraguas'!H14)/('Cuadro 2-Bocas del Toro'!H14+'Cuadro 3-Coclé'!H14+'Cuadro 4-Colón'!H14+'Cuadro 5-Chiriquí'!H14+'Cuadro 6-Darién'!H14+'Cuadro 7-Herrera'!H14+'Cuadro 8-Los Santos'!H14+'Cuadro 9-Panamá'!H14+'Cuadro 10-Panamá Oeste'!H14+'Cuadro 11-Veraguas'!H14)*100,"")</f>
        <v>2.9770678149349412</v>
      </c>
      <c r="N14" s="47"/>
    </row>
    <row r="15" spans="1:15" ht="32.25" customHeight="1">
      <c r="A15" s="56" t="s">
        <v>8</v>
      </c>
      <c r="B15" s="60" t="s">
        <v>56</v>
      </c>
      <c r="C15" s="14">
        <f>IFERROR(('Cuadro 2-Bocas del Toro'!H15+'Cuadro 3-Coclé'!H15+'Cuadro 4-Colón'!H15+'Cuadro 5-Chiriquí'!H15+'Cuadro 6-Darién'!H15+'Cuadro 7-Herrera'!H15+'Cuadro 8-Los Santos'!H15+'Cuadro 9-Panamá'!H15+'Cuadro 10-Panamá Oeste'!H15+'Cuadro 11-Veraguas'!H15)/('Cuadro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100</v>
      </c>
      <c r="D15" s="14">
        <f>IFERROR(('Cuadro 2-Bocas del Toro'!H15)/('Cuadro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4.3785930857795128</v>
      </c>
      <c r="E15" s="14">
        <f>IFERROR(('Cuadro 3-Coclé'!H15)/('Cuadro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6.1075412159881495</v>
      </c>
      <c r="F15" s="14">
        <f>IFERROR(('Cuadro 4-Colón'!H15)/('Cuadro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8.1187148018234758</v>
      </c>
      <c r="G15" s="14">
        <f>IFERROR(('Cuadro 5-Chiriquí'!H15)/('Cuadro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16.002140664472851</v>
      </c>
      <c r="H15" s="14">
        <f>IFERROR(('Cuadro 6-Darién'!H15)/('Cuadro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1.6524348710918884</v>
      </c>
      <c r="I15" s="14">
        <f>IFERROR(('Cuadro 7-Herrera'!H15)/('Cuadro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2.6738543166885358</v>
      </c>
      <c r="J15" s="14">
        <f>IFERROR(('Cuadro 8-Los Santos'!H15)/('Cuadro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2.144055580021933</v>
      </c>
      <c r="K15" s="14">
        <f>IFERROR(('Cuadro 9-Panamá'!H15)/('Cuadro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38.751422891546532</v>
      </c>
      <c r="L15" s="19">
        <f>IFERROR(('Cuadro 10-Panamá Oeste'!H15)/('Cuadro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14.556849186638479</v>
      </c>
      <c r="M15" s="106">
        <f>IFERROR(('Cuadro 11-Veraguas'!H15)/('Cuadro 2-Bocas del Toro'!H15+'Cuadro 3-Coclé'!H15+'Cuadro 4-Colón'!H15+'Cuadro 5-Chiriquí'!H15+'Cuadro 6-Darién'!H15+'Cuadro 7-Herrera'!H15+'Cuadro 8-Los Santos'!H15+'Cuadro 9-Panamá'!H15+'Cuadro 10-Panamá Oeste'!H15+'Cuadro 11-Veraguas'!H15)*100,"")</f>
        <v>5.6143933859486408</v>
      </c>
      <c r="N15" s="47"/>
    </row>
    <row r="16" spans="1:15" ht="32.25" customHeight="1">
      <c r="A16" s="56" t="s">
        <v>9</v>
      </c>
      <c r="B16" s="60" t="s">
        <v>57</v>
      </c>
      <c r="C16" s="14">
        <f>IFERROR(('Cuadro 2-Bocas del Toro'!H16+'Cuadro 3-Coclé'!H16+'Cuadro 4-Colón'!H16+'Cuadro 5-Chiriquí'!H16+'Cuadro 6-Darién'!H16+'Cuadro 7-Herrera'!H16+'Cuadro 8-Los Santos'!H16+'Cuadro 9-Panamá'!H16+'Cuadro 10-Panamá Oeste'!H16+'Cuadro 11-Veraguas'!H16)/('Cuadro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100</v>
      </c>
      <c r="D16" s="14">
        <f>IFERROR(('Cuadro 2-Bocas del Toro'!H16)/('Cuadro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0.38101646028207198</v>
      </c>
      <c r="E16" s="14">
        <f>IFERROR(('Cuadro 3-Coclé'!H16)/('Cuadro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1.2686106032721021</v>
      </c>
      <c r="F16" s="14">
        <f>IFERROR(('Cuadro 4-Colón'!H16)/('Cuadro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3.5348848202738106</v>
      </c>
      <c r="G16" s="14">
        <f>IFERROR(('Cuadro 5-Chiriquí'!H16)/('Cuadro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3.9833501739252388</v>
      </c>
      <c r="H16" s="14">
        <f>IFERROR(('Cuadro 6-Darién'!H16)/('Cuadro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9.3677549964408011E-2</v>
      </c>
      <c r="I16" s="14">
        <f>IFERROR(('Cuadro 7-Herrera'!H16)/('Cuadro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1.184743126091067</v>
      </c>
      <c r="J16" s="14">
        <f>IFERROR(('Cuadro 8-Los Santos'!H16)/('Cuadro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0.71531300022527022</v>
      </c>
      <c r="K16" s="14">
        <f>IFERROR(('Cuadro 9-Panamá'!H16)/('Cuadro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84.823814944596307</v>
      </c>
      <c r="L16" s="19">
        <f>IFERROR(('Cuadro 10-Panamá Oeste'!H16)/('Cuadro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2.4171727001536736</v>
      </c>
      <c r="M16" s="106">
        <f>IFERROR(('Cuadro 11-Veraguas'!H16)/('Cuadro 2-Bocas del Toro'!H16+'Cuadro 3-Coclé'!H16+'Cuadro 4-Colón'!H16+'Cuadro 5-Chiriquí'!H16+'Cuadro 6-Darién'!H16+'Cuadro 7-Herrera'!H16+'Cuadro 8-Los Santos'!H16+'Cuadro 9-Panamá'!H16+'Cuadro 10-Panamá Oeste'!H16+'Cuadro 11-Veraguas'!H16)*100,"")</f>
        <v>1.5974166212160603</v>
      </c>
      <c r="N16" s="47"/>
    </row>
    <row r="17" spans="1:14" ht="32.25" customHeight="1">
      <c r="A17" s="56" t="s">
        <v>70</v>
      </c>
      <c r="B17" s="60" t="s">
        <v>95</v>
      </c>
      <c r="C17" s="14">
        <f>IFERROR(('Cuadro 2-Bocas del Toro'!H17+'Cuadro 3-Coclé'!H17+'Cuadro 4-Colón'!H17+'Cuadro 5-Chiriquí'!H17+'Cuadro 6-Darién'!H17+'Cuadro 7-Herrera'!H17+'Cuadro 8-Los Santos'!H17+'Cuadro 9-Panamá'!H17+'Cuadro 10-Panamá Oeste'!H17+'Cuadro 11-Veraguas'!H17)/('Cuadro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100</v>
      </c>
      <c r="D17" s="14">
        <f>IFERROR(('Cuadro 2-Bocas del Toro'!H17)/('Cuadro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1.0596295419102009</v>
      </c>
      <c r="E17" s="14">
        <f>IFERROR(('Cuadro 3-Coclé'!H17)/('Cuadro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1.6604838414965271</v>
      </c>
      <c r="F17" s="14">
        <f>IFERROR(('Cuadro 4-Colón'!H17)/('Cuadro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1.9043474153304076</v>
      </c>
      <c r="G17" s="14">
        <f>IFERROR(('Cuadro 5-Chiriquí'!H17)/('Cuadro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3.4807004967659103</v>
      </c>
      <c r="H17" s="14">
        <f>IFERROR(('Cuadro 6-Darién'!H17)/('Cuadro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0.21677867521339936</v>
      </c>
      <c r="I17" s="14">
        <f>IFERROR(('Cuadro 7-Herrera'!H17)/('Cuadro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0.66440020847533665</v>
      </c>
      <c r="J17" s="14">
        <f>IFERROR(('Cuadro 8-Los Santos'!H17)/('Cuadro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0.57171720354961808</v>
      </c>
      <c r="K17" s="14">
        <f>IFERROR(('Cuadro 9-Panamá'!H17)/('Cuadro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78.127336190777058</v>
      </c>
      <c r="L17" s="19">
        <f>IFERROR(('Cuadro 10-Panamá Oeste'!H17)/('Cuadro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10.990817268147858</v>
      </c>
      <c r="M17" s="106">
        <f>IFERROR(('Cuadro 11-Veraguas'!H17)/('Cuadro 2-Bocas del Toro'!H17+'Cuadro 3-Coclé'!H17+'Cuadro 4-Colón'!H17+'Cuadro 5-Chiriquí'!H17+'Cuadro 6-Darién'!H17+'Cuadro 7-Herrera'!H17+'Cuadro 8-Los Santos'!H17+'Cuadro 9-Panamá'!H17+'Cuadro 10-Panamá Oeste'!H17+'Cuadro 11-Veraguas'!H17)*100,"")</f>
        <v>1.3237891583336787</v>
      </c>
      <c r="N17" s="47"/>
    </row>
    <row r="18" spans="1:14" ht="32.25" customHeight="1">
      <c r="A18" s="56" t="s">
        <v>10</v>
      </c>
      <c r="B18" s="60" t="s">
        <v>58</v>
      </c>
      <c r="C18" s="14">
        <f>IFERROR(('Cuadro 2-Bocas del Toro'!H18+'Cuadro 3-Coclé'!H18+'Cuadro 4-Colón'!H18+'Cuadro 5-Chiriquí'!H18+'Cuadro 6-Darién'!H18+'Cuadro 7-Herrera'!H18+'Cuadro 8-Los Santos'!H18+'Cuadro 9-Panamá'!H18+'Cuadro 10-Panamá Oeste'!H18+'Cuadro 11-Veraguas'!H18)/('Cuadro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100</v>
      </c>
      <c r="D18" s="14">
        <f>IFERROR(('Cuadro 2-Bocas del Toro'!H18)/('Cuadro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0.10660749343697754</v>
      </c>
      <c r="E18" s="14">
        <f>IFERROR(('Cuadro 3-Coclé'!H18)/('Cuadro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0.5196651459031898</v>
      </c>
      <c r="F18" s="14">
        <f>IFERROR(('Cuadro 4-Colón'!H18)/('Cuadro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1.2775225707848699</v>
      </c>
      <c r="G18" s="14">
        <f>IFERROR(('Cuadro 5-Chiriquí'!H18)/('Cuadro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4.2559621101276246</v>
      </c>
      <c r="H18" s="14">
        <f>IFERROR(('Cuadro 6-Darién'!H18)/('Cuadro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8.430284831363441E-2</v>
      </c>
      <c r="I18" s="14">
        <f>IFERROR(('Cuadro 7-Herrera'!H18)/('Cuadro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0.53454218717604784</v>
      </c>
      <c r="J18" s="14">
        <f>IFERROR(('Cuadro 8-Los Santos'!H18)/('Cuadro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0.11851312527952106</v>
      </c>
      <c r="K18" s="14">
        <f>IFERROR(('Cuadro 9-Panamá'!H18)/('Cuadro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85.770687006720223</v>
      </c>
      <c r="L18" s="19">
        <f>IFERROR(('Cuadro 10-Panamá Oeste'!H18)/('Cuadro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6.8363074947503595</v>
      </c>
      <c r="M18" s="106">
        <f>IFERROR(('Cuadro 11-Veraguas'!H18)/('Cuadro 2-Bocas del Toro'!H18+'Cuadro 3-Coclé'!H18+'Cuadro 4-Colón'!H18+'Cuadro 5-Chiriquí'!H18+'Cuadro 6-Darién'!H18+'Cuadro 7-Herrera'!H18+'Cuadro 8-Los Santos'!H18+'Cuadro 9-Panamá'!H18+'Cuadro 10-Panamá Oeste'!H18+'Cuadro 11-Veraguas'!H18)*100,"")</f>
        <v>0.49589001750754691</v>
      </c>
      <c r="N18" s="47"/>
    </row>
    <row r="19" spans="1:14" ht="32.25" customHeight="1">
      <c r="A19" s="56" t="s">
        <v>59</v>
      </c>
      <c r="B19" s="60" t="s">
        <v>60</v>
      </c>
      <c r="C19" s="14">
        <f>IFERROR(('Cuadro 2-Bocas del Toro'!H19+'Cuadro 3-Coclé'!H19+'Cuadro 4-Colón'!H19+'Cuadro 5-Chiriquí'!H19+'Cuadro 6-Darién'!H19+'Cuadro 7-Herrera'!H19+'Cuadro 8-Los Santos'!H19+'Cuadro 9-Panamá'!H19+'Cuadro 10-Panamá Oeste'!H19+'Cuadro 11-Veraguas'!H19)/('Cuadro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100</v>
      </c>
      <c r="D19" s="14">
        <f>IFERROR(('Cuadro 2-Bocas del Toro'!H19)/('Cuadro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9.1252750525885676E-3</v>
      </c>
      <c r="E19" s="14">
        <f>IFERROR(('Cuadro 3-Coclé'!H19)/('Cuadro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6.5766317940834221E-2</v>
      </c>
      <c r="F19" s="14">
        <f>IFERROR(('Cuadro 4-Colón'!H19)/('Cuadro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0.22042236935573106</v>
      </c>
      <c r="G19" s="14">
        <f>IFERROR(('Cuadro 5-Chiriquí'!H19)/('Cuadro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2.4348997038312103</v>
      </c>
      <c r="H19" s="14">
        <f>IFERROR(('Cuadro 6-Darién'!H19)/('Cuadro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9.2575254156695604E-3</v>
      </c>
      <c r="I19" s="14">
        <f>IFERROR(('Cuadro 7-Herrera'!H19)/('Cuadro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0.6364132227942223</v>
      </c>
      <c r="J19" s="14">
        <f>IFERROR(('Cuadro 8-Los Santos'!H19)/('Cuadro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1.3225036308099375E-2</v>
      </c>
      <c r="K19" s="14">
        <f>IFERROR(('Cuadro 9-Panamá'!H19)/('Cuadro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95.22671132041603</v>
      </c>
      <c r="L19" s="19">
        <f>IFERROR(('Cuadro 10-Panamá Oeste'!H19)/('Cuadro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1.2221221469975061</v>
      </c>
      <c r="M19" s="106">
        <f>IFERROR(('Cuadro 11-Veraguas'!H19)/('Cuadro 2-Bocas del Toro'!H19+'Cuadro 3-Coclé'!H19+'Cuadro 4-Colón'!H19+'Cuadro 5-Chiriquí'!H19+'Cuadro 6-Darién'!H19+'Cuadro 7-Herrera'!H19+'Cuadro 8-Los Santos'!H19+'Cuadro 9-Panamá'!H19+'Cuadro 10-Panamá Oeste'!H19+'Cuadro 11-Veraguas'!H19)*100,"")</f>
        <v>0.16205708188808698</v>
      </c>
      <c r="N19" s="47"/>
    </row>
    <row r="20" spans="1:14" ht="32.25" customHeight="1">
      <c r="A20" s="56" t="s">
        <v>66</v>
      </c>
      <c r="B20" s="60" t="s">
        <v>67</v>
      </c>
      <c r="C20" s="14">
        <f>IFERROR(('Cuadro 2-Bocas del Toro'!H20+'Cuadro 3-Coclé'!H20+'Cuadro 4-Colón'!H20+'Cuadro 5-Chiriquí'!H20+'Cuadro 6-Darién'!H20+'Cuadro 7-Herrera'!H20+'Cuadro 8-Los Santos'!H20+'Cuadro 9-Panamá'!H20+'Cuadro 10-Panamá Oeste'!H20+'Cuadro 11-Veraguas'!H20)/('Cuadro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100</v>
      </c>
      <c r="D20" s="14">
        <f>IFERROR(('Cuadro 2-Bocas del Toro'!H20)/('Cuadro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0.1015036628533019</v>
      </c>
      <c r="E20" s="14">
        <f>IFERROR(('Cuadro 3-Coclé'!H20)/('Cuadro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0.23448273454218369</v>
      </c>
      <c r="F20" s="14">
        <f>IFERROR(('Cuadro 4-Colón'!H20)/('Cuadro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4.1149808319919909</v>
      </c>
      <c r="G20" s="14">
        <f>IFERROR(('Cuadro 5-Chiriquí'!H20)/('Cuadro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0.67616051414906664</v>
      </c>
      <c r="H20" s="14">
        <f>IFERROR(('Cuadro 6-Darién'!H20)/('Cuadro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1.8044361791035269E-3</v>
      </c>
      <c r="I20" s="14">
        <f>IFERROR(('Cuadro 7-Herrera'!H20)/('Cuadro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0.22918408610043481</v>
      </c>
      <c r="J20" s="14">
        <f>IFERROR(('Cuadro 8-Los Santos'!H20)/('Cuadro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9.1783345294826804E-2</v>
      </c>
      <c r="K20" s="14">
        <f>IFERROR(('Cuadro 9-Panamá'!H20)/('Cuadro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93.591294679088463</v>
      </c>
      <c r="L20" s="19">
        <f>IFERROR(('Cuadro 10-Panamá Oeste'!H20)/('Cuadro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0.13102193240710869</v>
      </c>
      <c r="M20" s="106">
        <f>IFERROR(('Cuadro 11-Veraguas'!H20)/('Cuadro 2-Bocas del Toro'!H20+'Cuadro 3-Coclé'!H20+'Cuadro 4-Colón'!H20+'Cuadro 5-Chiriquí'!H20+'Cuadro 6-Darién'!H20+'Cuadro 7-Herrera'!H20+'Cuadro 8-Los Santos'!H20+'Cuadro 9-Panamá'!H20+'Cuadro 10-Panamá Oeste'!H20+'Cuadro 11-Veraguas'!H20)*100,"")</f>
        <v>0.82778377739352893</v>
      </c>
      <c r="N20" s="47"/>
    </row>
    <row r="21" spans="1:14" ht="32.25" customHeight="1">
      <c r="A21" s="66" t="s">
        <v>61</v>
      </c>
      <c r="B21" s="67" t="s">
        <v>62</v>
      </c>
      <c r="C21" s="145">
        <f>IFERROR(('Cuadro 2-Bocas del Toro'!H21+'Cuadro 3-Coclé'!H21+'Cuadro 4-Colón'!H21+'Cuadro 5-Chiriquí'!H21+'Cuadro 6-Darién'!H21+'Cuadro 7-Herrera'!H21+'Cuadro 8-Los Santos'!H21+'Cuadro 9-Panamá'!H21+'Cuadro 10-Panamá Oeste'!H21+'Cuadro 11-Veraguas'!H21)/('Cuadro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100</v>
      </c>
      <c r="D21" s="145">
        <f>IFERROR(('Cuadro 2-Bocas del Toro'!H21)/('Cuadro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3.2465753424657531</v>
      </c>
      <c r="E21" s="145">
        <f>IFERROR(('Cuadro 3-Coclé'!H21)/('Cuadro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7.5849315068493199</v>
      </c>
      <c r="F21" s="145">
        <f>IFERROR(('Cuadro 4-Colón'!H21)/('Cuadro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2.7630136986301377</v>
      </c>
      <c r="G21" s="145">
        <f>IFERROR(('Cuadro 5-Chiriquí'!H21)/('Cuadro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6.1452054794520521</v>
      </c>
      <c r="H21" s="145">
        <f>IFERROR(('Cuadro 6-Darién'!H21)/('Cuadro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0.51095890410958922</v>
      </c>
      <c r="I21" s="145">
        <f>IFERROR(('Cuadro 7-Herrera'!H21)/('Cuadro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3.5575342465753406</v>
      </c>
      <c r="J21" s="145">
        <f>IFERROR(('Cuadro 8-Los Santos'!H21)/('Cuadro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2.3863013698630136</v>
      </c>
      <c r="K21" s="145">
        <f>IFERROR(('Cuadro 9-Panamá'!H21)/('Cuadro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48.698630136986317</v>
      </c>
      <c r="L21" s="132">
        <f>IFERROR(('Cuadro 10-Panamá Oeste'!H21)/('Cuadro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19.808219178082194</v>
      </c>
      <c r="M21" s="117">
        <f>IFERROR(('Cuadro 11-Veraguas'!H21)/('Cuadro 2-Bocas del Toro'!H21+'Cuadro 3-Coclé'!H21+'Cuadro 4-Colón'!H21+'Cuadro 5-Chiriquí'!H21+'Cuadro 6-Darién'!H21+'Cuadro 7-Herrera'!H21+'Cuadro 8-Los Santos'!H21+'Cuadro 9-Panamá'!H21+'Cuadro 10-Panamá Oeste'!H21+'Cuadro 11-Veraguas'!H21)*100,"")</f>
        <v>5.2986301369862998</v>
      </c>
      <c r="N21" s="47"/>
    </row>
    <row r="22" spans="1:14" ht="32.25" customHeight="1">
      <c r="A22" s="25"/>
      <c r="B22" s="22" t="s">
        <v>93</v>
      </c>
      <c r="C22" s="145">
        <f>IFERROR(('Cuadro 2-Bocas del Toro'!H22+'Cuadro 3-Coclé'!H22+'Cuadro 4-Colón'!H22+'Cuadro 5-Chiriquí'!H22+'Cuadro 6-Darién'!H22+'Cuadro 7-Herrera'!H22+'Cuadro 8-Los Santos'!H22+'Cuadro 9-Panamá'!H22+'Cuadro 10-Panamá Oeste'!H22+'Cuadro 11-Veraguas'!H22)/('Cuadro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100</v>
      </c>
      <c r="D22" s="145">
        <f>IFERROR(('Cuadro 2-Bocas del Toro'!H22)/('Cuadro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4.1502970777252335</v>
      </c>
      <c r="E22" s="145">
        <f>IFERROR(('Cuadro 3-Coclé'!H22)/('Cuadro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4.9166363526130699</v>
      </c>
      <c r="F22" s="145">
        <f>IFERROR(('Cuadro 4-Colón'!H22)/('Cuadro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5.6202255365587481</v>
      </c>
      <c r="G22" s="145">
        <f>IFERROR(('Cuadro 5-Chiriquí'!H22)/('Cuadro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11.828240572329335</v>
      </c>
      <c r="H22" s="145">
        <f>IFERROR(('Cuadro 6-Darién'!H22)/('Cuadro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1.4017218382442103</v>
      </c>
      <c r="I22" s="145">
        <f>IFERROR(('Cuadro 7-Herrera'!H22)/('Cuadro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3.5043045956105261</v>
      </c>
      <c r="J22" s="145">
        <f>IFERROR(('Cuadro 8-Los Santos'!H22)/('Cuadro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2.6500545652964727</v>
      </c>
      <c r="K22" s="145">
        <f>IFERROR(('Cuadro 9-Panamá'!H22)/('Cuadro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40.974293682551234</v>
      </c>
      <c r="L22" s="132">
        <f>IFERROR(('Cuadro 10-Panamá Oeste'!H22)/('Cuadro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18.245725718443069</v>
      </c>
      <c r="M22" s="117">
        <f>IFERROR(('Cuadro 11-Veraguas'!H22)/('Cuadro 2-Bocas del Toro'!H22+'Cuadro 3-Coclé'!H22+'Cuadro 4-Colón'!H22+'Cuadro 5-Chiriquí'!H22+'Cuadro 6-Darién'!H22+'Cuadro 7-Herrera'!H22+'Cuadro 8-Los Santos'!H22+'Cuadro 9-Panamá'!H22+'Cuadro 10-Panamá Oeste'!H22+'Cuadro 11-Veraguas'!H22)*100,"")</f>
        <v>6.7085000606281087</v>
      </c>
      <c r="N22" s="47"/>
    </row>
    <row r="23" spans="1:14" s="36" customFormat="1" ht="32.25" customHeight="1">
      <c r="A23" s="34"/>
      <c r="B23" s="27" t="s">
        <v>33</v>
      </c>
      <c r="C23" s="146">
        <f>IFERROR(('Cuadro 2-Bocas del Toro'!H23+'Cuadro 3-Coclé'!H23+'Cuadro 4-Colón'!H23+'Cuadro 5-Chiriquí'!H23+'Cuadro 6-Darién'!H23+'Cuadro 7-Herrera'!H23+'Cuadro 8-Los Santos'!H23+'Cuadro 9-Panamá'!H23+'Cuadro 10-Panamá Oeste'!H23+'Cuadro 11-Veraguas'!H23)/('Cuadro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100</v>
      </c>
      <c r="D23" s="146">
        <f>IFERROR(('Cuadro 2-Bocas del Toro'!H23)/('Cuadro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1.4103960733582024</v>
      </c>
      <c r="E23" s="146">
        <f>IFERROR(('Cuadro 3-Coclé'!H23)/('Cuadro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2.8651327461630851</v>
      </c>
      <c r="F23" s="146">
        <f>IFERROR(('Cuadro 4-Colón'!H23)/('Cuadro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14.957930136165468</v>
      </c>
      <c r="G23" s="146">
        <f>IFERROR(('Cuadro 5-Chiriquí'!H23)/('Cuadro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5.9747617729251932</v>
      </c>
      <c r="H23" s="146">
        <f>IFERROR(('Cuadro 6-Darién'!H23)/('Cuadro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0.40609948739323859</v>
      </c>
      <c r="I23" s="146">
        <f>IFERROR(('Cuadro 7-Herrera'!H23)/('Cuadro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1.1384320367706999</v>
      </c>
      <c r="J23" s="146">
        <f>IFERROR(('Cuadro 8-Los Santos'!H23)/('Cuadro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1.1060253374504982</v>
      </c>
      <c r="K23" s="146">
        <f>IFERROR(('Cuadro 9-Panamá'!H23)/('Cuadro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58.752789843498206</v>
      </c>
      <c r="L23" s="144">
        <f>IFERROR(('Cuadro 10-Panamá Oeste'!H23)/('Cuadro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10.837684118017105</v>
      </c>
      <c r="M23" s="129">
        <f>IFERROR(('Cuadro 11-Veraguas'!H23)/('Cuadro 2-Bocas del Toro'!H23+'Cuadro 3-Coclé'!H23+'Cuadro 4-Colón'!H23+'Cuadro 5-Chiriquí'!H23+'Cuadro 6-Darién'!H23+'Cuadro 7-Herrera'!H23+'Cuadro 8-Los Santos'!H23+'Cuadro 9-Panamá'!H23+'Cuadro 10-Panamá Oeste'!H23+'Cuadro 11-Veraguas'!H23)*100,"")</f>
        <v>2.550748448258306</v>
      </c>
      <c r="N23" s="47"/>
    </row>
    <row r="24" spans="1:14" ht="32.25" customHeight="1">
      <c r="A24" s="21" t="s">
        <v>25</v>
      </c>
      <c r="B24" s="37" t="s">
        <v>34</v>
      </c>
      <c r="C24" s="145">
        <f>IFERROR(('Cuadro 2-Bocas del Toro'!H24+'Cuadro 3-Coclé'!H24+'Cuadro 4-Colón'!H24+'Cuadro 5-Chiriquí'!H24+'Cuadro 6-Darién'!H24+'Cuadro 7-Herrera'!H24+'Cuadro 8-Los Santos'!H24+'Cuadro 9-Panamá'!H24+'Cuadro 10-Panamá Oeste'!H24+'Cuadro 11-Veraguas'!H24)/('Cuadro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100</v>
      </c>
      <c r="D24" s="145">
        <f>IFERROR(('Cuadro 2-Bocas del Toro'!H24)/('Cuadro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1.731314854009514</v>
      </c>
      <c r="E24" s="145">
        <f>IFERROR(('Cuadro 3-Coclé'!H24)/('Cuadro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2.9750102057936925</v>
      </c>
      <c r="F24" s="145">
        <f>IFERROR(('Cuadro 4-Colón'!H24)/('Cuadro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8.0182639406552525</v>
      </c>
      <c r="G24" s="145">
        <f>IFERROR(('Cuadro 5-Chiriquí'!H24)/('Cuadro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7.74577900637391</v>
      </c>
      <c r="H24" s="145">
        <f>IFERROR(('Cuadro 6-Darién'!H24)/('Cuadro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0.29872894715932791</v>
      </c>
      <c r="I24" s="145">
        <f>IFERROR(('Cuadro 7-Herrera'!H24)/('Cuadro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1.9533781800083274</v>
      </c>
      <c r="J24" s="145">
        <f>IFERROR(('Cuadro 8-Los Santos'!H24)/('Cuadro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1.2608476678502085</v>
      </c>
      <c r="K24" s="145">
        <f>IFERROR(('Cuadro 9-Panamá'!H24)/('Cuadro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58.540418454654365</v>
      </c>
      <c r="L24" s="132">
        <f>IFERROR(('Cuadro 10-Panamá Oeste'!H24)/('Cuadro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14.597210564762229</v>
      </c>
      <c r="M24" s="117">
        <f>IFERROR(('Cuadro 11-Veraguas'!H24)/('Cuadro 2-Bocas del Toro'!H24+'Cuadro 3-Coclé'!H24+'Cuadro 4-Colón'!H24+'Cuadro 5-Chiriquí'!H24+'Cuadro 6-Darién'!H24+'Cuadro 7-Herrera'!H24+'Cuadro 8-Los Santos'!H24+'Cuadro 9-Panamá'!H24+'Cuadro 10-Panamá Oeste'!H24+'Cuadro 11-Veraguas'!H24)*100,"")</f>
        <v>2.8790481787331603</v>
      </c>
      <c r="N24" s="47"/>
    </row>
    <row r="25" spans="1:14" ht="50.25" customHeight="1">
      <c r="A25" s="30"/>
      <c r="B25" s="38" t="s">
        <v>35</v>
      </c>
      <c r="C25" s="146">
        <f>IFERROR(('Cuadro 2-Bocas del Toro'!H25+'Cuadro 3-Coclé'!H25+'Cuadro 4-Colón'!H25+'Cuadro 5-Chiriquí'!H25+'Cuadro 6-Darién'!H25+'Cuadro 7-Herrera'!H25+'Cuadro 8-Los Santos'!H25+'Cuadro 9-Panamá'!H25+'Cuadro 10-Panamá Oeste'!H25+'Cuadro 11-Veraguas'!H25)/('Cuadro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100</v>
      </c>
      <c r="D25" s="146">
        <f>IFERROR(('Cuadro 2-Bocas del Toro'!H25)/('Cuadro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1.4190090665952333</v>
      </c>
      <c r="E25" s="146">
        <f>IFERROR(('Cuadro 3-Coclé'!H25)/('Cuadro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2.8683284164617358</v>
      </c>
      <c r="F25" s="146">
        <f>IFERROR(('Cuadro 4-Colón'!H25)/('Cuadro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14.766592988175061</v>
      </c>
      <c r="G25" s="146">
        <f>IFERROR(('Cuadro 5-Chiriquí'!H25)/('Cuadro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6.0240848476039428</v>
      </c>
      <c r="H25" s="146">
        <f>IFERROR(('Cuadro 6-Darién'!H25)/('Cuadro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0.40313659225857323</v>
      </c>
      <c r="I25" s="146">
        <f>IFERROR(('Cuadro 7-Herrera'!H25)/('Cuadro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1.161379064531876</v>
      </c>
      <c r="J25" s="146">
        <f>IFERROR(('Cuadro 8-Los Santos'!H25)/('Cuadro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1.1103812245079958</v>
      </c>
      <c r="K25" s="146">
        <f>IFERROR(('Cuadro 9-Panamá'!H25)/('Cuadro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58.745074815254583</v>
      </c>
      <c r="L25" s="144">
        <f>IFERROR(('Cuadro 10-Panamá Oeste'!H25)/('Cuadro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10.941743529856938</v>
      </c>
      <c r="M25" s="129">
        <f>IFERROR(('Cuadro 11-Veraguas'!H25)/('Cuadro 2-Bocas del Toro'!H25+'Cuadro 3-Coclé'!H25+'Cuadro 4-Colón'!H25+'Cuadro 5-Chiriquí'!H25+'Cuadro 6-Darién'!H25+'Cuadro 7-Herrera'!H25+'Cuadro 8-Los Santos'!H25+'Cuadro 9-Panamá'!H25+'Cuadro 10-Panamá Oeste'!H25+'Cuadro 11-Veraguas'!H25)*100,"")</f>
        <v>2.5602694547540663</v>
      </c>
      <c r="N25" s="47"/>
    </row>
    <row r="26" spans="1:14" ht="15">
      <c r="A26" s="7"/>
      <c r="B26" s="17"/>
      <c r="C26" s="39"/>
      <c r="D26" s="41"/>
      <c r="E26" s="39"/>
      <c r="F26" s="39"/>
      <c r="G26" s="39"/>
      <c r="H26" s="39"/>
      <c r="I26" s="39"/>
      <c r="J26" s="39"/>
      <c r="K26" s="39"/>
      <c r="L26" s="39"/>
      <c r="M26" s="39"/>
      <c r="N26" s="113"/>
    </row>
    <row r="27" spans="1:14" ht="13.5" customHeight="1">
      <c r="A27" s="222" t="s">
        <v>65</v>
      </c>
      <c r="B27" s="222"/>
      <c r="C27" s="222"/>
      <c r="D27" s="222"/>
      <c r="E27" s="222"/>
      <c r="F27" s="222"/>
      <c r="G27" s="9"/>
      <c r="H27" s="9"/>
      <c r="I27" s="8"/>
      <c r="J27" s="8"/>
      <c r="K27" s="8"/>
      <c r="L27" s="8"/>
    </row>
    <row r="28" spans="1:14" s="9" customFormat="1" ht="13.5" customHeight="1">
      <c r="A28" s="64" t="s">
        <v>82</v>
      </c>
      <c r="B28" s="43"/>
      <c r="C28" s="43"/>
      <c r="D28" s="43"/>
      <c r="E28" s="43"/>
      <c r="F28" s="43"/>
      <c r="I28" s="12"/>
      <c r="J28" s="12"/>
      <c r="K28" s="12"/>
      <c r="L28" s="12"/>
      <c r="N28" s="92"/>
    </row>
    <row r="29" spans="1:14" s="9" customFormat="1" ht="13.5" customHeight="1">
      <c r="A29" s="64" t="s">
        <v>81</v>
      </c>
      <c r="B29" s="43"/>
      <c r="C29" s="43"/>
      <c r="D29" s="43"/>
      <c r="E29" s="43"/>
      <c r="F29" s="43"/>
      <c r="I29" s="10"/>
      <c r="J29" s="10"/>
      <c r="K29" s="1"/>
      <c r="L29" s="1"/>
      <c r="N29" s="92"/>
    </row>
    <row r="30" spans="1:14" s="9" customFormat="1" ht="13.5" customHeight="1">
      <c r="A30" s="64" t="s">
        <v>351</v>
      </c>
      <c r="B30" s="64"/>
      <c r="C30" s="64"/>
      <c r="D30" s="64"/>
      <c r="E30" s="64"/>
      <c r="F30" s="64"/>
      <c r="I30" s="10"/>
      <c r="J30" s="10"/>
      <c r="K30" s="1"/>
      <c r="L30" s="1"/>
      <c r="N30" s="92"/>
    </row>
    <row r="31" spans="1:14" s="9" customFormat="1" ht="13.5" customHeight="1">
      <c r="A31" s="64" t="s">
        <v>98</v>
      </c>
      <c r="B31" s="64"/>
      <c r="C31" s="64"/>
      <c r="D31" s="64"/>
      <c r="E31" s="64"/>
      <c r="F31" s="64"/>
      <c r="G31" s="10"/>
      <c r="H31" s="10"/>
      <c r="I31" s="10"/>
      <c r="J31" s="10"/>
      <c r="K31" s="1"/>
      <c r="L31" s="1"/>
      <c r="N31" s="92"/>
    </row>
    <row r="32" spans="1:14" s="9" customFormat="1" ht="13.5" customHeight="1">
      <c r="A32" s="18" t="s">
        <v>99</v>
      </c>
      <c r="B32" s="45"/>
      <c r="G32" s="10"/>
      <c r="H32" s="10"/>
      <c r="I32" s="10"/>
      <c r="J32" s="10"/>
      <c r="K32" s="1"/>
      <c r="L32" s="1"/>
      <c r="N32" s="92"/>
    </row>
    <row r="33" spans="1:14" s="9" customFormat="1" ht="13.5" customHeight="1">
      <c r="A33" s="18" t="s">
        <v>36</v>
      </c>
      <c r="B33" s="104"/>
      <c r="G33" s="10"/>
      <c r="H33" s="10"/>
      <c r="I33" s="10"/>
      <c r="J33" s="10"/>
      <c r="K33" s="1"/>
      <c r="L33" s="1"/>
      <c r="N33" s="92"/>
    </row>
    <row r="34" spans="1:14" s="9" customFormat="1" ht="13.5" customHeight="1">
      <c r="A34" s="9" t="s">
        <v>37</v>
      </c>
      <c r="B34" s="46"/>
      <c r="C34" s="100"/>
      <c r="D34" s="100"/>
      <c r="E34" s="101"/>
      <c r="F34" s="101"/>
      <c r="G34" s="10"/>
      <c r="H34" s="10"/>
      <c r="I34" s="10"/>
      <c r="J34" s="10"/>
      <c r="K34" s="1"/>
      <c r="L34" s="1"/>
      <c r="N34" s="92"/>
    </row>
    <row r="35" spans="1:14" ht="13.5" customHeight="1">
      <c r="A35" s="9" t="s">
        <v>86</v>
      </c>
      <c r="B35" s="101"/>
      <c r="C35" s="100"/>
      <c r="D35" s="100"/>
      <c r="E35" s="101"/>
      <c r="F35" s="101"/>
      <c r="G35" s="103"/>
      <c r="H35" s="103"/>
      <c r="I35" s="103"/>
      <c r="J35" s="103"/>
      <c r="K35" s="103"/>
      <c r="L35" s="103"/>
      <c r="M35" s="103"/>
    </row>
    <row r="36" spans="1:14" ht="13.5" customHeight="1">
      <c r="A36" s="18" t="s">
        <v>213</v>
      </c>
      <c r="B36" s="64"/>
      <c r="C36" s="64"/>
      <c r="D36" s="64"/>
      <c r="E36" s="100"/>
      <c r="F36" s="100"/>
      <c r="G36" s="48"/>
      <c r="H36" s="48"/>
      <c r="I36" s="48"/>
      <c r="J36" s="48"/>
      <c r="K36" s="48"/>
      <c r="L36" s="48"/>
      <c r="M36" s="48"/>
    </row>
    <row r="37" spans="1:14">
      <c r="A37" s="64"/>
      <c r="B37" s="118"/>
      <c r="C37" s="118"/>
      <c r="D37" s="118"/>
      <c r="E37" s="118"/>
      <c r="F37" s="118"/>
      <c r="G37" s="51"/>
      <c r="H37" s="51"/>
      <c r="I37" s="51"/>
      <c r="J37" s="51"/>
      <c r="K37" s="51"/>
      <c r="L37" s="51"/>
      <c r="M37" s="51"/>
    </row>
    <row r="38" spans="1:14">
      <c r="A38" s="18"/>
      <c r="D38" s="103"/>
      <c r="E38" s="103"/>
      <c r="F38" s="103"/>
      <c r="G38" s="51"/>
      <c r="H38" s="51"/>
      <c r="I38" s="51"/>
      <c r="J38" s="51"/>
      <c r="K38" s="51"/>
      <c r="L38" s="51"/>
      <c r="M38" s="51"/>
    </row>
    <row r="39" spans="1:14">
      <c r="C39" s="48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4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</sheetData>
  <mergeCells count="4">
    <mergeCell ref="A27:F27"/>
    <mergeCell ref="A5:A6"/>
    <mergeCell ref="C5:M5"/>
    <mergeCell ref="B5:B6"/>
  </mergeCells>
  <hyperlinks>
    <hyperlink ref="O5" location="Índice!A1" display="Índice"/>
  </hyperlinks>
  <printOptions horizontalCentered="1"/>
  <pageMargins left="0.70866141732283472" right="0.70866141732283472" top="0.74803149606299213" bottom="0.74803149606299213" header="0.31496062992125984" footer="0.31496062992125984"/>
  <pageSetup scale="37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O40"/>
  <sheetViews>
    <sheetView zoomScaleNormal="100" zoomScaleSheetLayoutView="62" workbookViewId="0"/>
  </sheetViews>
  <sheetFormatPr baseColWidth="10" defaultColWidth="11" defaultRowHeight="12.75"/>
  <cols>
    <col min="1" max="1" width="15.5703125" style="1" customWidth="1"/>
    <col min="2" max="2" width="72.5703125" style="1" customWidth="1"/>
    <col min="3" max="13" width="13.7109375" style="1" customWidth="1"/>
    <col min="14" max="14" width="11" style="89"/>
    <col min="15" max="241" width="11" style="1"/>
    <col min="242" max="242" width="17" style="1" customWidth="1"/>
    <col min="243" max="243" width="48.28515625" style="1" customWidth="1"/>
    <col min="244" max="250" width="13.5703125" style="1" customWidth="1"/>
    <col min="251" max="251" width="15.42578125" style="1" customWidth="1"/>
    <col min="252" max="254" width="13.5703125" style="1" customWidth="1"/>
    <col min="255" max="497" width="11" style="1"/>
    <col min="498" max="498" width="17" style="1" customWidth="1"/>
    <col min="499" max="499" width="48.28515625" style="1" customWidth="1"/>
    <col min="500" max="506" width="13.5703125" style="1" customWidth="1"/>
    <col min="507" max="507" width="15.42578125" style="1" customWidth="1"/>
    <col min="508" max="510" width="13.5703125" style="1" customWidth="1"/>
    <col min="511" max="753" width="11" style="1"/>
    <col min="754" max="754" width="17" style="1" customWidth="1"/>
    <col min="755" max="755" width="48.28515625" style="1" customWidth="1"/>
    <col min="756" max="762" width="13.5703125" style="1" customWidth="1"/>
    <col min="763" max="763" width="15.42578125" style="1" customWidth="1"/>
    <col min="764" max="766" width="13.5703125" style="1" customWidth="1"/>
    <col min="767" max="1009" width="11" style="1"/>
    <col min="1010" max="1010" width="17" style="1" customWidth="1"/>
    <col min="1011" max="1011" width="48.28515625" style="1" customWidth="1"/>
    <col min="1012" max="1018" width="13.5703125" style="1" customWidth="1"/>
    <col min="1019" max="1019" width="15.42578125" style="1" customWidth="1"/>
    <col min="1020" max="1022" width="13.5703125" style="1" customWidth="1"/>
    <col min="1023" max="1265" width="11" style="1"/>
    <col min="1266" max="1266" width="17" style="1" customWidth="1"/>
    <col min="1267" max="1267" width="48.28515625" style="1" customWidth="1"/>
    <col min="1268" max="1274" width="13.5703125" style="1" customWidth="1"/>
    <col min="1275" max="1275" width="15.42578125" style="1" customWidth="1"/>
    <col min="1276" max="1278" width="13.5703125" style="1" customWidth="1"/>
    <col min="1279" max="1521" width="11" style="1"/>
    <col min="1522" max="1522" width="17" style="1" customWidth="1"/>
    <col min="1523" max="1523" width="48.28515625" style="1" customWidth="1"/>
    <col min="1524" max="1530" width="13.5703125" style="1" customWidth="1"/>
    <col min="1531" max="1531" width="15.42578125" style="1" customWidth="1"/>
    <col min="1532" max="1534" width="13.5703125" style="1" customWidth="1"/>
    <col min="1535" max="1777" width="11" style="1"/>
    <col min="1778" max="1778" width="17" style="1" customWidth="1"/>
    <col min="1779" max="1779" width="48.28515625" style="1" customWidth="1"/>
    <col min="1780" max="1786" width="13.5703125" style="1" customWidth="1"/>
    <col min="1787" max="1787" width="15.42578125" style="1" customWidth="1"/>
    <col min="1788" max="1790" width="13.5703125" style="1" customWidth="1"/>
    <col min="1791" max="2033" width="11" style="1"/>
    <col min="2034" max="2034" width="17" style="1" customWidth="1"/>
    <col min="2035" max="2035" width="48.28515625" style="1" customWidth="1"/>
    <col min="2036" max="2042" width="13.5703125" style="1" customWidth="1"/>
    <col min="2043" max="2043" width="15.42578125" style="1" customWidth="1"/>
    <col min="2044" max="2046" width="13.5703125" style="1" customWidth="1"/>
    <col min="2047" max="2289" width="11" style="1"/>
    <col min="2290" max="2290" width="17" style="1" customWidth="1"/>
    <col min="2291" max="2291" width="48.28515625" style="1" customWidth="1"/>
    <col min="2292" max="2298" width="13.5703125" style="1" customWidth="1"/>
    <col min="2299" max="2299" width="15.42578125" style="1" customWidth="1"/>
    <col min="2300" max="2302" width="13.5703125" style="1" customWidth="1"/>
    <col min="2303" max="2545" width="11" style="1"/>
    <col min="2546" max="2546" width="17" style="1" customWidth="1"/>
    <col min="2547" max="2547" width="48.28515625" style="1" customWidth="1"/>
    <col min="2548" max="2554" width="13.5703125" style="1" customWidth="1"/>
    <col min="2555" max="2555" width="15.42578125" style="1" customWidth="1"/>
    <col min="2556" max="2558" width="13.5703125" style="1" customWidth="1"/>
    <col min="2559" max="2801" width="11" style="1"/>
    <col min="2802" max="2802" width="17" style="1" customWidth="1"/>
    <col min="2803" max="2803" width="48.28515625" style="1" customWidth="1"/>
    <col min="2804" max="2810" width="13.5703125" style="1" customWidth="1"/>
    <col min="2811" max="2811" width="15.42578125" style="1" customWidth="1"/>
    <col min="2812" max="2814" width="13.5703125" style="1" customWidth="1"/>
    <col min="2815" max="3057" width="11" style="1"/>
    <col min="3058" max="3058" width="17" style="1" customWidth="1"/>
    <col min="3059" max="3059" width="48.28515625" style="1" customWidth="1"/>
    <col min="3060" max="3066" width="13.5703125" style="1" customWidth="1"/>
    <col min="3067" max="3067" width="15.42578125" style="1" customWidth="1"/>
    <col min="3068" max="3070" width="13.5703125" style="1" customWidth="1"/>
    <col min="3071" max="3313" width="11" style="1"/>
    <col min="3314" max="3314" width="17" style="1" customWidth="1"/>
    <col min="3315" max="3315" width="48.28515625" style="1" customWidth="1"/>
    <col min="3316" max="3322" width="13.5703125" style="1" customWidth="1"/>
    <col min="3323" max="3323" width="15.42578125" style="1" customWidth="1"/>
    <col min="3324" max="3326" width="13.5703125" style="1" customWidth="1"/>
    <col min="3327" max="3569" width="11" style="1"/>
    <col min="3570" max="3570" width="17" style="1" customWidth="1"/>
    <col min="3571" max="3571" width="48.28515625" style="1" customWidth="1"/>
    <col min="3572" max="3578" width="13.5703125" style="1" customWidth="1"/>
    <col min="3579" max="3579" width="15.42578125" style="1" customWidth="1"/>
    <col min="3580" max="3582" width="13.5703125" style="1" customWidth="1"/>
    <col min="3583" max="3825" width="11" style="1"/>
    <col min="3826" max="3826" width="17" style="1" customWidth="1"/>
    <col min="3827" max="3827" width="48.28515625" style="1" customWidth="1"/>
    <col min="3828" max="3834" width="13.5703125" style="1" customWidth="1"/>
    <col min="3835" max="3835" width="15.42578125" style="1" customWidth="1"/>
    <col min="3836" max="3838" width="13.5703125" style="1" customWidth="1"/>
    <col min="3839" max="4081" width="11" style="1"/>
    <col min="4082" max="4082" width="17" style="1" customWidth="1"/>
    <col min="4083" max="4083" width="48.28515625" style="1" customWidth="1"/>
    <col min="4084" max="4090" width="13.5703125" style="1" customWidth="1"/>
    <col min="4091" max="4091" width="15.42578125" style="1" customWidth="1"/>
    <col min="4092" max="4094" width="13.5703125" style="1" customWidth="1"/>
    <col min="4095" max="4337" width="11" style="1"/>
    <col min="4338" max="4338" width="17" style="1" customWidth="1"/>
    <col min="4339" max="4339" width="48.28515625" style="1" customWidth="1"/>
    <col min="4340" max="4346" width="13.5703125" style="1" customWidth="1"/>
    <col min="4347" max="4347" width="15.42578125" style="1" customWidth="1"/>
    <col min="4348" max="4350" width="13.5703125" style="1" customWidth="1"/>
    <col min="4351" max="4593" width="11" style="1"/>
    <col min="4594" max="4594" width="17" style="1" customWidth="1"/>
    <col min="4595" max="4595" width="48.28515625" style="1" customWidth="1"/>
    <col min="4596" max="4602" width="13.5703125" style="1" customWidth="1"/>
    <col min="4603" max="4603" width="15.42578125" style="1" customWidth="1"/>
    <col min="4604" max="4606" width="13.5703125" style="1" customWidth="1"/>
    <col min="4607" max="4849" width="11" style="1"/>
    <col min="4850" max="4850" width="17" style="1" customWidth="1"/>
    <col min="4851" max="4851" width="48.28515625" style="1" customWidth="1"/>
    <col min="4852" max="4858" width="13.5703125" style="1" customWidth="1"/>
    <col min="4859" max="4859" width="15.42578125" style="1" customWidth="1"/>
    <col min="4860" max="4862" width="13.5703125" style="1" customWidth="1"/>
    <col min="4863" max="5105" width="11" style="1"/>
    <col min="5106" max="5106" width="17" style="1" customWidth="1"/>
    <col min="5107" max="5107" width="48.28515625" style="1" customWidth="1"/>
    <col min="5108" max="5114" width="13.5703125" style="1" customWidth="1"/>
    <col min="5115" max="5115" width="15.42578125" style="1" customWidth="1"/>
    <col min="5116" max="5118" width="13.5703125" style="1" customWidth="1"/>
    <col min="5119" max="5361" width="11" style="1"/>
    <col min="5362" max="5362" width="17" style="1" customWidth="1"/>
    <col min="5363" max="5363" width="48.28515625" style="1" customWidth="1"/>
    <col min="5364" max="5370" width="13.5703125" style="1" customWidth="1"/>
    <col min="5371" max="5371" width="15.42578125" style="1" customWidth="1"/>
    <col min="5372" max="5374" width="13.5703125" style="1" customWidth="1"/>
    <col min="5375" max="5617" width="11" style="1"/>
    <col min="5618" max="5618" width="17" style="1" customWidth="1"/>
    <col min="5619" max="5619" width="48.28515625" style="1" customWidth="1"/>
    <col min="5620" max="5626" width="13.5703125" style="1" customWidth="1"/>
    <col min="5627" max="5627" width="15.42578125" style="1" customWidth="1"/>
    <col min="5628" max="5630" width="13.5703125" style="1" customWidth="1"/>
    <col min="5631" max="5873" width="11" style="1"/>
    <col min="5874" max="5874" width="17" style="1" customWidth="1"/>
    <col min="5875" max="5875" width="48.28515625" style="1" customWidth="1"/>
    <col min="5876" max="5882" width="13.5703125" style="1" customWidth="1"/>
    <col min="5883" max="5883" width="15.42578125" style="1" customWidth="1"/>
    <col min="5884" max="5886" width="13.5703125" style="1" customWidth="1"/>
    <col min="5887" max="6129" width="11" style="1"/>
    <col min="6130" max="6130" width="17" style="1" customWidth="1"/>
    <col min="6131" max="6131" width="48.28515625" style="1" customWidth="1"/>
    <col min="6132" max="6138" width="13.5703125" style="1" customWidth="1"/>
    <col min="6139" max="6139" width="15.42578125" style="1" customWidth="1"/>
    <col min="6140" max="6142" width="13.5703125" style="1" customWidth="1"/>
    <col min="6143" max="6385" width="11" style="1"/>
    <col min="6386" max="6386" width="17" style="1" customWidth="1"/>
    <col min="6387" max="6387" width="48.28515625" style="1" customWidth="1"/>
    <col min="6388" max="6394" width="13.5703125" style="1" customWidth="1"/>
    <col min="6395" max="6395" width="15.42578125" style="1" customWidth="1"/>
    <col min="6396" max="6398" width="13.5703125" style="1" customWidth="1"/>
    <col min="6399" max="6641" width="11" style="1"/>
    <col min="6642" max="6642" width="17" style="1" customWidth="1"/>
    <col min="6643" max="6643" width="48.28515625" style="1" customWidth="1"/>
    <col min="6644" max="6650" width="13.5703125" style="1" customWidth="1"/>
    <col min="6651" max="6651" width="15.42578125" style="1" customWidth="1"/>
    <col min="6652" max="6654" width="13.5703125" style="1" customWidth="1"/>
    <col min="6655" max="6897" width="11" style="1"/>
    <col min="6898" max="6898" width="17" style="1" customWidth="1"/>
    <col min="6899" max="6899" width="48.28515625" style="1" customWidth="1"/>
    <col min="6900" max="6906" width="13.5703125" style="1" customWidth="1"/>
    <col min="6907" max="6907" width="15.42578125" style="1" customWidth="1"/>
    <col min="6908" max="6910" width="13.5703125" style="1" customWidth="1"/>
    <col min="6911" max="7153" width="11" style="1"/>
    <col min="7154" max="7154" width="17" style="1" customWidth="1"/>
    <col min="7155" max="7155" width="48.28515625" style="1" customWidth="1"/>
    <col min="7156" max="7162" width="13.5703125" style="1" customWidth="1"/>
    <col min="7163" max="7163" width="15.42578125" style="1" customWidth="1"/>
    <col min="7164" max="7166" width="13.5703125" style="1" customWidth="1"/>
    <col min="7167" max="7409" width="11" style="1"/>
    <col min="7410" max="7410" width="17" style="1" customWidth="1"/>
    <col min="7411" max="7411" width="48.28515625" style="1" customWidth="1"/>
    <col min="7412" max="7418" width="13.5703125" style="1" customWidth="1"/>
    <col min="7419" max="7419" width="15.42578125" style="1" customWidth="1"/>
    <col min="7420" max="7422" width="13.5703125" style="1" customWidth="1"/>
    <col min="7423" max="7665" width="11" style="1"/>
    <col min="7666" max="7666" width="17" style="1" customWidth="1"/>
    <col min="7667" max="7667" width="48.28515625" style="1" customWidth="1"/>
    <col min="7668" max="7674" width="13.5703125" style="1" customWidth="1"/>
    <col min="7675" max="7675" width="15.42578125" style="1" customWidth="1"/>
    <col min="7676" max="7678" width="13.5703125" style="1" customWidth="1"/>
    <col min="7679" max="7921" width="11" style="1"/>
    <col min="7922" max="7922" width="17" style="1" customWidth="1"/>
    <col min="7923" max="7923" width="48.28515625" style="1" customWidth="1"/>
    <col min="7924" max="7930" width="13.5703125" style="1" customWidth="1"/>
    <col min="7931" max="7931" width="15.42578125" style="1" customWidth="1"/>
    <col min="7932" max="7934" width="13.5703125" style="1" customWidth="1"/>
    <col min="7935" max="8177" width="11" style="1"/>
    <col min="8178" max="8178" width="17" style="1" customWidth="1"/>
    <col min="8179" max="8179" width="48.28515625" style="1" customWidth="1"/>
    <col min="8180" max="8186" width="13.5703125" style="1" customWidth="1"/>
    <col min="8187" max="8187" width="15.42578125" style="1" customWidth="1"/>
    <col min="8188" max="8190" width="13.5703125" style="1" customWidth="1"/>
    <col min="8191" max="8433" width="11" style="1"/>
    <col min="8434" max="8434" width="17" style="1" customWidth="1"/>
    <col min="8435" max="8435" width="48.28515625" style="1" customWidth="1"/>
    <col min="8436" max="8442" width="13.5703125" style="1" customWidth="1"/>
    <col min="8443" max="8443" width="15.42578125" style="1" customWidth="1"/>
    <col min="8444" max="8446" width="13.5703125" style="1" customWidth="1"/>
    <col min="8447" max="8689" width="11" style="1"/>
    <col min="8690" max="8690" width="17" style="1" customWidth="1"/>
    <col min="8691" max="8691" width="48.28515625" style="1" customWidth="1"/>
    <col min="8692" max="8698" width="13.5703125" style="1" customWidth="1"/>
    <col min="8699" max="8699" width="15.42578125" style="1" customWidth="1"/>
    <col min="8700" max="8702" width="13.5703125" style="1" customWidth="1"/>
    <col min="8703" max="8945" width="11" style="1"/>
    <col min="8946" max="8946" width="17" style="1" customWidth="1"/>
    <col min="8947" max="8947" width="48.28515625" style="1" customWidth="1"/>
    <col min="8948" max="8954" width="13.5703125" style="1" customWidth="1"/>
    <col min="8955" max="8955" width="15.42578125" style="1" customWidth="1"/>
    <col min="8956" max="8958" width="13.5703125" style="1" customWidth="1"/>
    <col min="8959" max="9201" width="11" style="1"/>
    <col min="9202" max="9202" width="17" style="1" customWidth="1"/>
    <col min="9203" max="9203" width="48.28515625" style="1" customWidth="1"/>
    <col min="9204" max="9210" width="13.5703125" style="1" customWidth="1"/>
    <col min="9211" max="9211" width="15.42578125" style="1" customWidth="1"/>
    <col min="9212" max="9214" width="13.5703125" style="1" customWidth="1"/>
    <col min="9215" max="9457" width="11" style="1"/>
    <col min="9458" max="9458" width="17" style="1" customWidth="1"/>
    <col min="9459" max="9459" width="48.28515625" style="1" customWidth="1"/>
    <col min="9460" max="9466" width="13.5703125" style="1" customWidth="1"/>
    <col min="9467" max="9467" width="15.42578125" style="1" customWidth="1"/>
    <col min="9468" max="9470" width="13.5703125" style="1" customWidth="1"/>
    <col min="9471" max="9713" width="11" style="1"/>
    <col min="9714" max="9714" width="17" style="1" customWidth="1"/>
    <col min="9715" max="9715" width="48.28515625" style="1" customWidth="1"/>
    <col min="9716" max="9722" width="13.5703125" style="1" customWidth="1"/>
    <col min="9723" max="9723" width="15.42578125" style="1" customWidth="1"/>
    <col min="9724" max="9726" width="13.5703125" style="1" customWidth="1"/>
    <col min="9727" max="9969" width="11" style="1"/>
    <col min="9970" max="9970" width="17" style="1" customWidth="1"/>
    <col min="9971" max="9971" width="48.28515625" style="1" customWidth="1"/>
    <col min="9972" max="9978" width="13.5703125" style="1" customWidth="1"/>
    <col min="9979" max="9979" width="15.42578125" style="1" customWidth="1"/>
    <col min="9980" max="9982" width="13.5703125" style="1" customWidth="1"/>
    <col min="9983" max="10225" width="11" style="1"/>
    <col min="10226" max="10226" width="17" style="1" customWidth="1"/>
    <col min="10227" max="10227" width="48.28515625" style="1" customWidth="1"/>
    <col min="10228" max="10234" width="13.5703125" style="1" customWidth="1"/>
    <col min="10235" max="10235" width="15.42578125" style="1" customWidth="1"/>
    <col min="10236" max="10238" width="13.5703125" style="1" customWidth="1"/>
    <col min="10239" max="10481" width="11" style="1"/>
    <col min="10482" max="10482" width="17" style="1" customWidth="1"/>
    <col min="10483" max="10483" width="48.28515625" style="1" customWidth="1"/>
    <col min="10484" max="10490" width="13.5703125" style="1" customWidth="1"/>
    <col min="10491" max="10491" width="15.42578125" style="1" customWidth="1"/>
    <col min="10492" max="10494" width="13.5703125" style="1" customWidth="1"/>
    <col min="10495" max="10737" width="11" style="1"/>
    <col min="10738" max="10738" width="17" style="1" customWidth="1"/>
    <col min="10739" max="10739" width="48.28515625" style="1" customWidth="1"/>
    <col min="10740" max="10746" width="13.5703125" style="1" customWidth="1"/>
    <col min="10747" max="10747" width="15.42578125" style="1" customWidth="1"/>
    <col min="10748" max="10750" width="13.5703125" style="1" customWidth="1"/>
    <col min="10751" max="10993" width="11" style="1"/>
    <col min="10994" max="10994" width="17" style="1" customWidth="1"/>
    <col min="10995" max="10995" width="48.28515625" style="1" customWidth="1"/>
    <col min="10996" max="11002" width="13.5703125" style="1" customWidth="1"/>
    <col min="11003" max="11003" width="15.42578125" style="1" customWidth="1"/>
    <col min="11004" max="11006" width="13.5703125" style="1" customWidth="1"/>
    <col min="11007" max="11249" width="11" style="1"/>
    <col min="11250" max="11250" width="17" style="1" customWidth="1"/>
    <col min="11251" max="11251" width="48.28515625" style="1" customWidth="1"/>
    <col min="11252" max="11258" width="13.5703125" style="1" customWidth="1"/>
    <col min="11259" max="11259" width="15.42578125" style="1" customWidth="1"/>
    <col min="11260" max="11262" width="13.5703125" style="1" customWidth="1"/>
    <col min="11263" max="11505" width="11" style="1"/>
    <col min="11506" max="11506" width="17" style="1" customWidth="1"/>
    <col min="11507" max="11507" width="48.28515625" style="1" customWidth="1"/>
    <col min="11508" max="11514" width="13.5703125" style="1" customWidth="1"/>
    <col min="11515" max="11515" width="15.42578125" style="1" customWidth="1"/>
    <col min="11516" max="11518" width="13.5703125" style="1" customWidth="1"/>
    <col min="11519" max="11761" width="11" style="1"/>
    <col min="11762" max="11762" width="17" style="1" customWidth="1"/>
    <col min="11763" max="11763" width="48.28515625" style="1" customWidth="1"/>
    <col min="11764" max="11770" width="13.5703125" style="1" customWidth="1"/>
    <col min="11771" max="11771" width="15.42578125" style="1" customWidth="1"/>
    <col min="11772" max="11774" width="13.5703125" style="1" customWidth="1"/>
    <col min="11775" max="12017" width="11" style="1"/>
    <col min="12018" max="12018" width="17" style="1" customWidth="1"/>
    <col min="12019" max="12019" width="48.28515625" style="1" customWidth="1"/>
    <col min="12020" max="12026" width="13.5703125" style="1" customWidth="1"/>
    <col min="12027" max="12027" width="15.42578125" style="1" customWidth="1"/>
    <col min="12028" max="12030" width="13.5703125" style="1" customWidth="1"/>
    <col min="12031" max="12273" width="11" style="1"/>
    <col min="12274" max="12274" width="17" style="1" customWidth="1"/>
    <col min="12275" max="12275" width="48.28515625" style="1" customWidth="1"/>
    <col min="12276" max="12282" width="13.5703125" style="1" customWidth="1"/>
    <col min="12283" max="12283" width="15.42578125" style="1" customWidth="1"/>
    <col min="12284" max="12286" width="13.5703125" style="1" customWidth="1"/>
    <col min="12287" max="12529" width="11" style="1"/>
    <col min="12530" max="12530" width="17" style="1" customWidth="1"/>
    <col min="12531" max="12531" width="48.28515625" style="1" customWidth="1"/>
    <col min="12532" max="12538" width="13.5703125" style="1" customWidth="1"/>
    <col min="12539" max="12539" width="15.42578125" style="1" customWidth="1"/>
    <col min="12540" max="12542" width="13.5703125" style="1" customWidth="1"/>
    <col min="12543" max="12785" width="11" style="1"/>
    <col min="12786" max="12786" width="17" style="1" customWidth="1"/>
    <col min="12787" max="12787" width="48.28515625" style="1" customWidth="1"/>
    <col min="12788" max="12794" width="13.5703125" style="1" customWidth="1"/>
    <col min="12795" max="12795" width="15.42578125" style="1" customWidth="1"/>
    <col min="12796" max="12798" width="13.5703125" style="1" customWidth="1"/>
    <col min="12799" max="13041" width="11" style="1"/>
    <col min="13042" max="13042" width="17" style="1" customWidth="1"/>
    <col min="13043" max="13043" width="48.28515625" style="1" customWidth="1"/>
    <col min="13044" max="13050" width="13.5703125" style="1" customWidth="1"/>
    <col min="13051" max="13051" width="15.42578125" style="1" customWidth="1"/>
    <col min="13052" max="13054" width="13.5703125" style="1" customWidth="1"/>
    <col min="13055" max="13297" width="11" style="1"/>
    <col min="13298" max="13298" width="17" style="1" customWidth="1"/>
    <col min="13299" max="13299" width="48.28515625" style="1" customWidth="1"/>
    <col min="13300" max="13306" width="13.5703125" style="1" customWidth="1"/>
    <col min="13307" max="13307" width="15.42578125" style="1" customWidth="1"/>
    <col min="13308" max="13310" width="13.5703125" style="1" customWidth="1"/>
    <col min="13311" max="13553" width="11" style="1"/>
    <col min="13554" max="13554" width="17" style="1" customWidth="1"/>
    <col min="13555" max="13555" width="48.28515625" style="1" customWidth="1"/>
    <col min="13556" max="13562" width="13.5703125" style="1" customWidth="1"/>
    <col min="13563" max="13563" width="15.42578125" style="1" customWidth="1"/>
    <col min="13564" max="13566" width="13.5703125" style="1" customWidth="1"/>
    <col min="13567" max="13809" width="11" style="1"/>
    <col min="13810" max="13810" width="17" style="1" customWidth="1"/>
    <col min="13811" max="13811" width="48.28515625" style="1" customWidth="1"/>
    <col min="13812" max="13818" width="13.5703125" style="1" customWidth="1"/>
    <col min="13819" max="13819" width="15.42578125" style="1" customWidth="1"/>
    <col min="13820" max="13822" width="13.5703125" style="1" customWidth="1"/>
    <col min="13823" max="14065" width="11" style="1"/>
    <col min="14066" max="14066" width="17" style="1" customWidth="1"/>
    <col min="14067" max="14067" width="48.28515625" style="1" customWidth="1"/>
    <col min="14068" max="14074" width="13.5703125" style="1" customWidth="1"/>
    <col min="14075" max="14075" width="15.42578125" style="1" customWidth="1"/>
    <col min="14076" max="14078" width="13.5703125" style="1" customWidth="1"/>
    <col min="14079" max="14321" width="11" style="1"/>
    <col min="14322" max="14322" width="17" style="1" customWidth="1"/>
    <col min="14323" max="14323" width="48.28515625" style="1" customWidth="1"/>
    <col min="14324" max="14330" width="13.5703125" style="1" customWidth="1"/>
    <col min="14331" max="14331" width="15.42578125" style="1" customWidth="1"/>
    <col min="14332" max="14334" width="13.5703125" style="1" customWidth="1"/>
    <col min="14335" max="14577" width="11" style="1"/>
    <col min="14578" max="14578" width="17" style="1" customWidth="1"/>
    <col min="14579" max="14579" width="48.28515625" style="1" customWidth="1"/>
    <col min="14580" max="14586" width="13.5703125" style="1" customWidth="1"/>
    <col min="14587" max="14587" width="15.42578125" style="1" customWidth="1"/>
    <col min="14588" max="14590" width="13.5703125" style="1" customWidth="1"/>
    <col min="14591" max="14833" width="11" style="1"/>
    <col min="14834" max="14834" width="17" style="1" customWidth="1"/>
    <col min="14835" max="14835" width="48.28515625" style="1" customWidth="1"/>
    <col min="14836" max="14842" width="13.5703125" style="1" customWidth="1"/>
    <col min="14843" max="14843" width="15.42578125" style="1" customWidth="1"/>
    <col min="14844" max="14846" width="13.5703125" style="1" customWidth="1"/>
    <col min="14847" max="15089" width="11" style="1"/>
    <col min="15090" max="15090" width="17" style="1" customWidth="1"/>
    <col min="15091" max="15091" width="48.28515625" style="1" customWidth="1"/>
    <col min="15092" max="15098" width="13.5703125" style="1" customWidth="1"/>
    <col min="15099" max="15099" width="15.42578125" style="1" customWidth="1"/>
    <col min="15100" max="15102" width="13.5703125" style="1" customWidth="1"/>
    <col min="15103" max="15345" width="11" style="1"/>
    <col min="15346" max="15346" width="17" style="1" customWidth="1"/>
    <col min="15347" max="15347" width="48.28515625" style="1" customWidth="1"/>
    <col min="15348" max="15354" width="13.5703125" style="1" customWidth="1"/>
    <col min="15355" max="15355" width="15.42578125" style="1" customWidth="1"/>
    <col min="15356" max="15358" width="13.5703125" style="1" customWidth="1"/>
    <col min="15359" max="15601" width="11" style="1"/>
    <col min="15602" max="15602" width="17" style="1" customWidth="1"/>
    <col min="15603" max="15603" width="48.28515625" style="1" customWidth="1"/>
    <col min="15604" max="15610" width="13.5703125" style="1" customWidth="1"/>
    <col min="15611" max="15611" width="15.42578125" style="1" customWidth="1"/>
    <col min="15612" max="15614" width="13.5703125" style="1" customWidth="1"/>
    <col min="15615" max="15857" width="11" style="1"/>
    <col min="15858" max="15858" width="17" style="1" customWidth="1"/>
    <col min="15859" max="15859" width="48.28515625" style="1" customWidth="1"/>
    <col min="15860" max="15866" width="13.5703125" style="1" customWidth="1"/>
    <col min="15867" max="15867" width="15.42578125" style="1" customWidth="1"/>
    <col min="15868" max="15870" width="13.5703125" style="1" customWidth="1"/>
    <col min="15871" max="16113" width="11" style="1"/>
    <col min="16114" max="16114" width="17" style="1" customWidth="1"/>
    <col min="16115" max="16115" width="48.28515625" style="1" customWidth="1"/>
    <col min="16116" max="16122" width="13.5703125" style="1" customWidth="1"/>
    <col min="16123" max="16123" width="15.42578125" style="1" customWidth="1"/>
    <col min="16124" max="16126" width="13.5703125" style="1" customWidth="1"/>
    <col min="16127" max="16384" width="11" style="1"/>
  </cols>
  <sheetData>
    <row r="1" spans="1:15" ht="17.25" customHeight="1">
      <c r="A1" s="42" t="s">
        <v>183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O1" s="101"/>
    </row>
    <row r="2" spans="1:15" ht="17.25" customHeight="1">
      <c r="A2" s="191" t="s">
        <v>176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O2" s="101"/>
    </row>
    <row r="3" spans="1:15" s="9" customFormat="1" ht="17.25" customHeight="1">
      <c r="A3" s="185" t="s">
        <v>107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O3" s="13"/>
    </row>
    <row r="4" spans="1:15" s="7" customFormat="1" ht="17.25" customHeight="1" thickBot="1">
      <c r="A4" s="185" t="s">
        <v>216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14"/>
      <c r="O4" s="114"/>
    </row>
    <row r="5" spans="1:15" s="7" customFormat="1" ht="37.5" customHeight="1" thickTop="1">
      <c r="A5" s="217" t="s">
        <v>29</v>
      </c>
      <c r="B5" s="217" t="s">
        <v>30</v>
      </c>
      <c r="C5" s="219" t="s">
        <v>48</v>
      </c>
      <c r="D5" s="224"/>
      <c r="E5" s="224"/>
      <c r="F5" s="224"/>
      <c r="G5" s="224"/>
      <c r="H5" s="224"/>
      <c r="I5" s="224"/>
      <c r="J5" s="224"/>
      <c r="K5" s="224"/>
      <c r="L5" s="224"/>
      <c r="M5" s="225"/>
      <c r="N5" s="112"/>
      <c r="O5" s="193" t="s">
        <v>42</v>
      </c>
    </row>
    <row r="6" spans="1:15" s="7" customFormat="1" ht="37.5" customHeight="1" thickBot="1">
      <c r="A6" s="223"/>
      <c r="B6" s="223"/>
      <c r="C6" s="133" t="s">
        <v>49</v>
      </c>
      <c r="D6" s="134" t="s">
        <v>12</v>
      </c>
      <c r="E6" s="133" t="s">
        <v>13</v>
      </c>
      <c r="F6" s="133" t="s">
        <v>14</v>
      </c>
      <c r="G6" s="133" t="s">
        <v>15</v>
      </c>
      <c r="H6" s="134" t="s">
        <v>16</v>
      </c>
      <c r="I6" s="133" t="s">
        <v>17</v>
      </c>
      <c r="J6" s="133" t="s">
        <v>18</v>
      </c>
      <c r="K6" s="133" t="s">
        <v>19</v>
      </c>
      <c r="L6" s="134" t="s">
        <v>24</v>
      </c>
      <c r="M6" s="133" t="s">
        <v>21</v>
      </c>
      <c r="N6" s="58"/>
      <c r="O6" s="114"/>
    </row>
    <row r="7" spans="1:15" ht="32.25" customHeight="1" thickTop="1">
      <c r="A7" s="135" t="s">
        <v>0</v>
      </c>
      <c r="B7" s="136" t="s">
        <v>53</v>
      </c>
      <c r="C7" s="137">
        <f>IFERROR(('Cuadro 2-Bocas del Toro'!I7+'Cuadro 3-Coclé'!I7+'Cuadro 4-Colón'!I7+'Cuadro 5-Chiriquí'!I7+'Cuadro 6-Darién'!I7+'Cuadro 7-Herrera'!I7+'Cuadro 8-Los Santos'!I7+'Cuadro 9-Panamá'!I7+'Cuadro 10-Panamá Oeste'!I7+'Cuadro 11-Veraguas'!I7)/('Cuadro 2-Bocas del Toro'!I7+'Cuadro 3-Coclé'!I7+'Cuadro 4-Colón'!I7+'Cuadro 5-Chiriquí'!I7+'Cuadro 6-Darién'!I7+'Cuadro 7-Herrera'!I7+'Cuadro 8-Los Santos'!I7+'Cuadro 9-Panamá'!I7+'Cuadro 10-Panamá Oeste'!I7+'Cuadro 11-Veraguas'!I7)*100,"")</f>
        <v>100</v>
      </c>
      <c r="D7" s="137">
        <f>IFERROR(('Cuadro 2-Bocas del Toro'!I7)/('Cuadro 2-Bocas del Toro'!I7+'Cuadro 3-Coclé'!I7+'Cuadro 4-Colón'!I7+'Cuadro 5-Chiriquí'!I7+'Cuadro 6-Darién'!I7+'Cuadro 7-Herrera'!I7+'Cuadro 8-Los Santos'!I7+'Cuadro 9-Panamá'!I7+'Cuadro 10-Panamá Oeste'!I7+'Cuadro 11-Veraguas'!I7)*100,"")</f>
        <v>7.4441716624407848</v>
      </c>
      <c r="E7" s="137">
        <f>IFERROR(('Cuadro 3-Coclé'!I7)/('Cuadro 2-Bocas del Toro'!I7+'Cuadro 3-Coclé'!I7+'Cuadro 4-Colón'!I7+'Cuadro 5-Chiriquí'!I7+'Cuadro 6-Darién'!I7+'Cuadro 7-Herrera'!I7+'Cuadro 8-Los Santos'!I7+'Cuadro 9-Panamá'!I7+'Cuadro 10-Panamá Oeste'!I7+'Cuadro 11-Veraguas'!I7)*100,"")</f>
        <v>13.004387414678783</v>
      </c>
      <c r="F7" s="137">
        <f>IFERROR(('Cuadro 4-Colón'!I7)/('Cuadro 2-Bocas del Toro'!I7+'Cuadro 3-Coclé'!I7+'Cuadro 4-Colón'!I7+'Cuadro 5-Chiriquí'!I7+'Cuadro 6-Darién'!I7+'Cuadro 7-Herrera'!I7+'Cuadro 8-Los Santos'!I7+'Cuadro 9-Panamá'!I7+'Cuadro 10-Panamá Oeste'!I7+'Cuadro 11-Veraguas'!I7)*100,"")</f>
        <v>2.3695826058291276</v>
      </c>
      <c r="G7" s="137">
        <f>IFERROR(('Cuadro 5-Chiriquí'!I7)/('Cuadro 2-Bocas del Toro'!I7+'Cuadro 3-Coclé'!I7+'Cuadro 4-Colón'!I7+'Cuadro 5-Chiriquí'!I7+'Cuadro 6-Darién'!I7+'Cuadro 7-Herrera'!I7+'Cuadro 8-Los Santos'!I7+'Cuadro 9-Panamá'!I7+'Cuadro 10-Panamá Oeste'!I7+'Cuadro 11-Veraguas'!I7)*100,"")</f>
        <v>19.053962469575133</v>
      </c>
      <c r="H7" s="137">
        <f>IFERROR(('Cuadro 6-Darién'!I7)/('Cuadro 2-Bocas del Toro'!I7+'Cuadro 3-Coclé'!I7+'Cuadro 4-Colón'!I7+'Cuadro 5-Chiriquí'!I7+'Cuadro 6-Darién'!I7+'Cuadro 7-Herrera'!I7+'Cuadro 8-Los Santos'!I7+'Cuadro 9-Panamá'!I7+'Cuadro 10-Panamá Oeste'!I7+'Cuadro 11-Veraguas'!I7)*100,"")</f>
        <v>5.9495770728420139</v>
      </c>
      <c r="I7" s="137">
        <f>IFERROR(('Cuadro 7-Herrera'!I7)/('Cuadro 2-Bocas del Toro'!I7+'Cuadro 3-Coclé'!I7+'Cuadro 4-Colón'!I7+'Cuadro 5-Chiriquí'!I7+'Cuadro 6-Darién'!I7+'Cuadro 7-Herrera'!I7+'Cuadro 8-Los Santos'!I7+'Cuadro 9-Panamá'!I7+'Cuadro 10-Panamá Oeste'!I7+'Cuadro 11-Veraguas'!I7)*100,"")</f>
        <v>8.1072967361540229</v>
      </c>
      <c r="J7" s="137">
        <f>IFERROR(('Cuadro 8-Los Santos'!I7)/('Cuadro 2-Bocas del Toro'!I7+'Cuadro 3-Coclé'!I7+'Cuadro 4-Colón'!I7+'Cuadro 5-Chiriquí'!I7+'Cuadro 6-Darién'!I7+'Cuadro 7-Herrera'!I7+'Cuadro 8-Los Santos'!I7+'Cuadro 9-Panamá'!I7+'Cuadro 10-Panamá Oeste'!I7+'Cuadro 11-Veraguas'!I7)*100,"")</f>
        <v>10.640458685728566</v>
      </c>
      <c r="K7" s="137">
        <f>IFERROR(('Cuadro 9-Panamá'!I7)/('Cuadro 2-Bocas del Toro'!I7+'Cuadro 3-Coclé'!I7+'Cuadro 4-Colón'!I7+'Cuadro 5-Chiriquí'!I7+'Cuadro 6-Darién'!I7+'Cuadro 7-Herrera'!I7+'Cuadro 8-Los Santos'!I7+'Cuadro 9-Panamá'!I7+'Cuadro 10-Panamá Oeste'!I7+'Cuadro 11-Veraguas'!I7)*100,"")</f>
        <v>7.0919877998083258</v>
      </c>
      <c r="L7" s="138">
        <f>IFERROR(('Cuadro 10-Panamá Oeste'!I7)/('Cuadro 2-Bocas del Toro'!I7+'Cuadro 3-Coclé'!I7+'Cuadro 4-Colón'!I7+'Cuadro 5-Chiriquí'!I7+'Cuadro 6-Darién'!I7+'Cuadro 7-Herrera'!I7+'Cuadro 8-Los Santos'!I7+'Cuadro 9-Panamá'!I7+'Cuadro 10-Panamá Oeste'!I7+'Cuadro 11-Veraguas'!I7)*100,"")</f>
        <v>18.335219913120611</v>
      </c>
      <c r="M7" s="139">
        <f>IFERROR(('Cuadro 11-Veraguas'!I7)/('Cuadro 2-Bocas del Toro'!I7+'Cuadro 3-Coclé'!I7+'Cuadro 4-Colón'!I7+'Cuadro 5-Chiriquí'!I7+'Cuadro 6-Darién'!I7+'Cuadro 7-Herrera'!I7+'Cuadro 8-Los Santos'!I7+'Cuadro 9-Panamá'!I7+'Cuadro 10-Panamá Oeste'!I7+'Cuadro 11-Veraguas'!I7)*100,"")</f>
        <v>8.003355639822626</v>
      </c>
      <c r="N7" s="58"/>
    </row>
    <row r="8" spans="1:15" ht="32.25" customHeight="1">
      <c r="A8" s="56" t="s">
        <v>1</v>
      </c>
      <c r="B8" s="60" t="s">
        <v>31</v>
      </c>
      <c r="C8" s="14">
        <f>IFERROR(('Cuadro 2-Bocas del Toro'!I8+'Cuadro 3-Coclé'!I8+'Cuadro 4-Colón'!I8+'Cuadro 5-Chiriquí'!I8+'Cuadro 6-Darién'!I8+'Cuadro 7-Herrera'!I8+'Cuadro 8-Los Santos'!I8+'Cuadro 9-Panamá'!I8+'Cuadro 10-Panamá Oeste'!I8+'Cuadro 11-Veraguas'!I8)/('Cuadro 2-Bocas del Toro'!I8+'Cuadro 3-Coclé'!I8+'Cuadro 4-Colón'!I8+'Cuadro 5-Chiriquí'!I8+'Cuadro 6-Darién'!I8+'Cuadro 7-Herrera'!I8+'Cuadro 8-Los Santos'!I8+'Cuadro 9-Panamá'!I8+'Cuadro 10-Panamá Oeste'!I8+'Cuadro 11-Veraguas'!I8)*100,"")</f>
        <v>100</v>
      </c>
      <c r="D8" s="14">
        <f>IFERROR(('Cuadro 2-Bocas del Toro'!I8)/('Cuadro 2-Bocas del Toro'!I8+'Cuadro 3-Coclé'!I8+'Cuadro 4-Colón'!I8+'Cuadro 5-Chiriquí'!I8+'Cuadro 6-Darién'!I8+'Cuadro 7-Herrera'!I8+'Cuadro 8-Los Santos'!I8+'Cuadro 9-Panamá'!I8+'Cuadro 10-Panamá Oeste'!I8+'Cuadro 11-Veraguas'!I8)*100,"")</f>
        <v>0.92374422776204046</v>
      </c>
      <c r="E8" s="14">
        <f>IFERROR(('Cuadro 3-Coclé'!I8)/('Cuadro 2-Bocas del Toro'!I8+'Cuadro 3-Coclé'!I8+'Cuadro 4-Colón'!I8+'Cuadro 5-Chiriquí'!I8+'Cuadro 6-Darién'!I8+'Cuadro 7-Herrera'!I8+'Cuadro 8-Los Santos'!I8+'Cuadro 9-Panamá'!I8+'Cuadro 10-Panamá Oeste'!I8+'Cuadro 11-Veraguas'!I8)*100,"")</f>
        <v>5.2132974435660433</v>
      </c>
      <c r="F8" s="14">
        <f>IFERROR(('Cuadro 4-Colón'!I8)/('Cuadro 2-Bocas del Toro'!I8+'Cuadro 3-Coclé'!I8+'Cuadro 4-Colón'!I8+'Cuadro 5-Chiriquí'!I8+'Cuadro 6-Darién'!I8+'Cuadro 7-Herrera'!I8+'Cuadro 8-Los Santos'!I8+'Cuadro 9-Panamá'!I8+'Cuadro 10-Panamá Oeste'!I8+'Cuadro 11-Veraguas'!I8)*100,"")</f>
        <v>2.6296462798200944</v>
      </c>
      <c r="G8" s="14">
        <f>IFERROR(('Cuadro 5-Chiriquí'!I8)/('Cuadro 2-Bocas del Toro'!I8+'Cuadro 3-Coclé'!I8+'Cuadro 4-Colón'!I8+'Cuadro 5-Chiriquí'!I8+'Cuadro 6-Darién'!I8+'Cuadro 7-Herrera'!I8+'Cuadro 8-Los Santos'!I8+'Cuadro 9-Panamá'!I8+'Cuadro 10-Panamá Oeste'!I8+'Cuadro 11-Veraguas'!I8)*100,"")</f>
        <v>13.63885781411129</v>
      </c>
      <c r="H8" s="14">
        <f>IFERROR(('Cuadro 6-Darién'!I8)/('Cuadro 2-Bocas del Toro'!I8+'Cuadro 3-Coclé'!I8+'Cuadro 4-Colón'!I8+'Cuadro 5-Chiriquí'!I8+'Cuadro 6-Darién'!I8+'Cuadro 7-Herrera'!I8+'Cuadro 8-Los Santos'!I8+'Cuadro 9-Panamá'!I8+'Cuadro 10-Panamá Oeste'!I8+'Cuadro 11-Veraguas'!I8)*100,"")</f>
        <v>0.14613570402723197</v>
      </c>
      <c r="I8" s="14">
        <f>IFERROR(('Cuadro 7-Herrera'!I8)/('Cuadro 2-Bocas del Toro'!I8+'Cuadro 3-Coclé'!I8+'Cuadro 4-Colón'!I8+'Cuadro 5-Chiriquí'!I8+'Cuadro 6-Darién'!I8+'Cuadro 7-Herrera'!I8+'Cuadro 8-Los Santos'!I8+'Cuadro 9-Panamá'!I8+'Cuadro 10-Panamá Oeste'!I8+'Cuadro 11-Veraguas'!I8)*100,"")</f>
        <v>1.5270354325588351</v>
      </c>
      <c r="J8" s="14">
        <f>IFERROR(('Cuadro 8-Los Santos'!I8)/('Cuadro 2-Bocas del Toro'!I8+'Cuadro 3-Coclé'!I8+'Cuadro 4-Colón'!I8+'Cuadro 5-Chiriquí'!I8+'Cuadro 6-Darién'!I8+'Cuadro 7-Herrera'!I8+'Cuadro 8-Los Santos'!I8+'Cuadro 9-Panamá'!I8+'Cuadro 10-Panamá Oeste'!I8+'Cuadro 11-Veraguas'!I8)*100,"")</f>
        <v>2.8017341752382743</v>
      </c>
      <c r="K8" s="14">
        <f>IFERROR(('Cuadro 9-Panamá'!I8)/('Cuadro 2-Bocas del Toro'!I8+'Cuadro 3-Coclé'!I8+'Cuadro 4-Colón'!I8+'Cuadro 5-Chiriquí'!I8+'Cuadro 6-Darién'!I8+'Cuadro 7-Herrera'!I8+'Cuadro 8-Los Santos'!I8+'Cuadro 9-Panamá'!I8+'Cuadro 10-Panamá Oeste'!I8+'Cuadro 11-Veraguas'!I8)*100,"")</f>
        <v>49.248531726518543</v>
      </c>
      <c r="L8" s="19">
        <f>IFERROR(('Cuadro 10-Panamá Oeste'!I8)/('Cuadro 2-Bocas del Toro'!I8+'Cuadro 3-Coclé'!I8+'Cuadro 4-Colón'!I8+'Cuadro 5-Chiriquí'!I8+'Cuadro 6-Darién'!I8+'Cuadro 7-Herrera'!I8+'Cuadro 8-Los Santos'!I8+'Cuadro 9-Panamá'!I8+'Cuadro 10-Panamá Oeste'!I8+'Cuadro 11-Veraguas'!I8)*100,"")</f>
        <v>21.142292621649446</v>
      </c>
      <c r="M8" s="106">
        <f>IFERROR(('Cuadro 11-Veraguas'!I8)/('Cuadro 2-Bocas del Toro'!I8+'Cuadro 3-Coclé'!I8+'Cuadro 4-Colón'!I8+'Cuadro 5-Chiriquí'!I8+'Cuadro 6-Darién'!I8+'Cuadro 7-Herrera'!I8+'Cuadro 8-Los Santos'!I8+'Cuadro 9-Panamá'!I8+'Cuadro 10-Panamá Oeste'!I8+'Cuadro 11-Veraguas'!I8)*100,"")</f>
        <v>2.7287245747482038</v>
      </c>
      <c r="N8" s="58"/>
    </row>
    <row r="9" spans="1:15" ht="32.25" customHeight="1">
      <c r="A9" s="56" t="s">
        <v>2</v>
      </c>
      <c r="B9" s="60" t="s">
        <v>3</v>
      </c>
      <c r="C9" s="14">
        <f>IFERROR(('Cuadro 2-Bocas del Toro'!I9+'Cuadro 3-Coclé'!I9+'Cuadro 4-Colón'!I9+'Cuadro 5-Chiriquí'!I9+'Cuadro 6-Darién'!I9+'Cuadro 7-Herrera'!I9+'Cuadro 8-Los Santos'!I9+'Cuadro 9-Panamá'!I9+'Cuadro 10-Panamá Oeste'!I9+'Cuadro 11-Veraguas'!I9)/('Cuadro 2-Bocas del Toro'!I9+'Cuadro 3-Coclé'!I9+'Cuadro 4-Colón'!I9+'Cuadro 5-Chiriquí'!I9+'Cuadro 6-Darién'!I9+'Cuadro 7-Herrera'!I9+'Cuadro 8-Los Santos'!I9+'Cuadro 9-Panamá'!I9+'Cuadro 10-Panamá Oeste'!I9+'Cuadro 11-Veraguas'!I9)*100,"")</f>
        <v>100</v>
      </c>
      <c r="D9" s="14">
        <f>IFERROR(('Cuadro 2-Bocas del Toro'!I9)/('Cuadro 2-Bocas del Toro'!I9+'Cuadro 3-Coclé'!I9+'Cuadro 4-Colón'!I9+'Cuadro 5-Chiriquí'!I9+'Cuadro 6-Darién'!I9+'Cuadro 7-Herrera'!I9+'Cuadro 8-Los Santos'!I9+'Cuadro 9-Panamá'!I9+'Cuadro 10-Panamá Oeste'!I9+'Cuadro 11-Veraguas'!I9)*100,"")</f>
        <v>2.0023103793398958E-2</v>
      </c>
      <c r="E9" s="14">
        <f>IFERROR(('Cuadro 3-Coclé'!I9)/('Cuadro 2-Bocas del Toro'!I9+'Cuadro 3-Coclé'!I9+'Cuadro 4-Colón'!I9+'Cuadro 5-Chiriquí'!I9+'Cuadro 6-Darién'!I9+'Cuadro 7-Herrera'!I9+'Cuadro 8-Los Santos'!I9+'Cuadro 9-Panamá'!I9+'Cuadro 10-Panamá Oeste'!I9+'Cuadro 11-Veraguas'!I9)*100,"")</f>
        <v>7.9361604772065997</v>
      </c>
      <c r="F9" s="14">
        <f>IFERROR(('Cuadro 4-Colón'!I9)/('Cuadro 2-Bocas del Toro'!I9+'Cuadro 3-Coclé'!I9+'Cuadro 4-Colón'!I9+'Cuadro 5-Chiriquí'!I9+'Cuadro 6-Darién'!I9+'Cuadro 7-Herrera'!I9+'Cuadro 8-Los Santos'!I9+'Cuadro 9-Panamá'!I9+'Cuadro 10-Panamá Oeste'!I9+'Cuadro 11-Veraguas'!I9)*100,"")</f>
        <v>1.953275291151976</v>
      </c>
      <c r="G9" s="14">
        <f>IFERROR(('Cuadro 5-Chiriquí'!I9)/('Cuadro 2-Bocas del Toro'!I9+'Cuadro 3-Coclé'!I9+'Cuadro 4-Colón'!I9+'Cuadro 5-Chiriquí'!I9+'Cuadro 6-Darién'!I9+'Cuadro 7-Herrera'!I9+'Cuadro 8-Los Santos'!I9+'Cuadro 9-Panamá'!I9+'Cuadro 10-Panamá Oeste'!I9+'Cuadro 11-Veraguas'!I9)*100,"")</f>
        <v>7.1064109873723709</v>
      </c>
      <c r="H9" s="14">
        <f>IFERROR(('Cuadro 6-Darién'!I9)/('Cuadro 2-Bocas del Toro'!I9+'Cuadro 3-Coclé'!I9+'Cuadro 4-Colón'!I9+'Cuadro 5-Chiriquí'!I9+'Cuadro 6-Darién'!I9+'Cuadro 7-Herrera'!I9+'Cuadro 8-Los Santos'!I9+'Cuadro 9-Panamá'!I9+'Cuadro 10-Panamá Oeste'!I9+'Cuadro 11-Veraguas'!I9)*100,"")</f>
        <v>1.4159360994748136E-2</v>
      </c>
      <c r="I9" s="14">
        <f>IFERROR(('Cuadro 7-Herrera'!I9)/('Cuadro 2-Bocas del Toro'!I9+'Cuadro 3-Coclé'!I9+'Cuadro 4-Colón'!I9+'Cuadro 5-Chiriquí'!I9+'Cuadro 6-Darién'!I9+'Cuadro 7-Herrera'!I9+'Cuadro 8-Los Santos'!I9+'Cuadro 9-Panamá'!I9+'Cuadro 10-Panamá Oeste'!I9+'Cuadro 11-Veraguas'!I9)*100,"")</f>
        <v>1.0677629601935434</v>
      </c>
      <c r="J9" s="14">
        <f>IFERROR(('Cuadro 8-Los Santos'!I9)/('Cuadro 2-Bocas del Toro'!I9+'Cuadro 3-Coclé'!I9+'Cuadro 4-Colón'!I9+'Cuadro 5-Chiriquí'!I9+'Cuadro 6-Darién'!I9+'Cuadro 7-Herrera'!I9+'Cuadro 8-Los Santos'!I9+'Cuadro 9-Panamá'!I9+'Cuadro 10-Panamá Oeste'!I9+'Cuadro 11-Veraguas'!I9)*100,"")</f>
        <v>0.4115201567740927</v>
      </c>
      <c r="K9" s="14">
        <f>IFERROR(('Cuadro 9-Panamá'!I9)/('Cuadro 2-Bocas del Toro'!I9+'Cuadro 3-Coclé'!I9+'Cuadro 4-Colón'!I9+'Cuadro 5-Chiriquí'!I9+'Cuadro 6-Darién'!I9+'Cuadro 7-Herrera'!I9+'Cuadro 8-Los Santos'!I9+'Cuadro 9-Panamá'!I9+'Cuadro 10-Panamá Oeste'!I9+'Cuadro 11-Veraguas'!I9)*100,"")</f>
        <v>60.474164137384292</v>
      </c>
      <c r="L9" s="19">
        <f>IFERROR(('Cuadro 10-Panamá Oeste'!I9)/('Cuadro 2-Bocas del Toro'!I9+'Cuadro 3-Coclé'!I9+'Cuadro 4-Colón'!I9+'Cuadro 5-Chiriquí'!I9+'Cuadro 6-Darién'!I9+'Cuadro 7-Herrera'!I9+'Cuadro 8-Los Santos'!I9+'Cuadro 9-Panamá'!I9+'Cuadro 10-Panamá Oeste'!I9+'Cuadro 11-Veraguas'!I9)*100,"")</f>
        <v>15.235919663317638</v>
      </c>
      <c r="M9" s="106">
        <f>IFERROR(('Cuadro 11-Veraguas'!I9)/('Cuadro 2-Bocas del Toro'!I9+'Cuadro 3-Coclé'!I9+'Cuadro 4-Colón'!I9+'Cuadro 5-Chiriquí'!I9+'Cuadro 6-Darién'!I9+'Cuadro 7-Herrera'!I9+'Cuadro 8-Los Santos'!I9+'Cuadro 9-Panamá'!I9+'Cuadro 10-Panamá Oeste'!I9+'Cuadro 11-Veraguas'!I9)*100,"")</f>
        <v>5.7806038618113371</v>
      </c>
      <c r="N9" s="47"/>
    </row>
    <row r="10" spans="1:15" ht="44.25" customHeight="1">
      <c r="A10" s="56" t="s">
        <v>68</v>
      </c>
      <c r="B10" s="60" t="s">
        <v>69</v>
      </c>
      <c r="C10" s="14">
        <f>IFERROR(('Cuadro 2-Bocas del Toro'!I10+'Cuadro 3-Coclé'!I10+'Cuadro 4-Colón'!I10+'Cuadro 5-Chiriquí'!I10+'Cuadro 6-Darién'!I10+'Cuadro 7-Herrera'!I10+'Cuadro 8-Los Santos'!I10+'Cuadro 9-Panamá'!I10+'Cuadro 10-Panamá Oeste'!I10+'Cuadro 11-Veraguas'!I10)/('Cuadro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100</v>
      </c>
      <c r="D10" s="14">
        <f>IFERROR(('Cuadro 2-Bocas del Toro'!I10)/('Cuadro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11.414128500038572</v>
      </c>
      <c r="E10" s="14">
        <f>IFERROR(('Cuadro 3-Coclé'!I10)/('Cuadro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6.9550887244615502</v>
      </c>
      <c r="F10" s="14">
        <f>IFERROR(('Cuadro 4-Colón'!I10)/('Cuadro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14.804188495821597</v>
      </c>
      <c r="G10" s="14">
        <f>IFERROR(('Cuadro 5-Chiriquí'!I10)/('Cuadro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24.176302640882017</v>
      </c>
      <c r="H10" s="14">
        <f>IFERROR(('Cuadro 6-Darién'!I10)/('Cuadro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0.16011959837668291</v>
      </c>
      <c r="I10" s="14">
        <f>IFERROR(('Cuadro 7-Herrera'!I10)/('Cuadro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3.2936044707661489</v>
      </c>
      <c r="J10" s="14">
        <f>IFERROR(('Cuadro 8-Los Santos'!I10)/('Cuadro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0.77216885036347482</v>
      </c>
      <c r="K10" s="14">
        <f>IFERROR(('Cuadro 9-Panamá'!I10)/('Cuadro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29.235381574814966</v>
      </c>
      <c r="L10" s="19">
        <f>IFERROR(('Cuadro 10-Panamá Oeste'!I10)/('Cuadro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7.561009832257426</v>
      </c>
      <c r="M10" s="106">
        <f>IFERROR(('Cuadro 11-Veraguas'!I10)/('Cuadro 2-Bocas del Toro'!I10+'Cuadro 3-Coclé'!I10+'Cuadro 4-Colón'!I10+'Cuadro 5-Chiriquí'!I10+'Cuadro 6-Darién'!I10+'Cuadro 7-Herrera'!I10+'Cuadro 8-Los Santos'!I10+'Cuadro 9-Panamá'!I10+'Cuadro 10-Panamá Oeste'!I10+'Cuadro 11-Veraguas'!I10)*100,"")</f>
        <v>1.6280073122175676</v>
      </c>
      <c r="N10" s="47"/>
    </row>
    <row r="11" spans="1:15" ht="32.25" customHeight="1">
      <c r="A11" s="56" t="s">
        <v>4</v>
      </c>
      <c r="B11" s="60" t="s">
        <v>94</v>
      </c>
      <c r="C11" s="14">
        <f>IFERROR(('Cuadro 2-Bocas del Toro'!I11+'Cuadro 3-Coclé'!I11+'Cuadro 4-Colón'!I11+'Cuadro 5-Chiriquí'!I11+'Cuadro 6-Darién'!I11+'Cuadro 7-Herrera'!I11+'Cuadro 8-Los Santos'!I11+'Cuadro 9-Panamá'!I11+'Cuadro 10-Panamá Oeste'!I11+'Cuadro 11-Veraguas'!I11)/('Cuadro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100</v>
      </c>
      <c r="D11" s="14">
        <f>IFERROR(('Cuadro 2-Bocas del Toro'!I11)/('Cuadro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0.65167198046140562</v>
      </c>
      <c r="E11" s="14">
        <f>IFERROR(('Cuadro 3-Coclé'!I11)/('Cuadro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3.6688285712594277</v>
      </c>
      <c r="F11" s="14">
        <f>IFERROR(('Cuadro 4-Colón'!I11)/('Cuadro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2.2906783344945802</v>
      </c>
      <c r="G11" s="14">
        <f>IFERROR(('Cuadro 5-Chiriquí'!I11)/('Cuadro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8.2315221840972406</v>
      </c>
      <c r="H11" s="14">
        <f>IFERROR(('Cuadro 6-Darién'!I11)/('Cuadro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0.10309406088552066</v>
      </c>
      <c r="I11" s="14">
        <f>IFERROR(('Cuadro 7-Herrera'!I11)/('Cuadro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1.0674935319369432</v>
      </c>
      <c r="J11" s="14">
        <f>IFERROR(('Cuadro 8-Los Santos'!I11)/('Cuadro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1.8983778986959021</v>
      </c>
      <c r="K11" s="14">
        <f>IFERROR(('Cuadro 9-Panamá'!I11)/('Cuadro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48.498403135975522</v>
      </c>
      <c r="L11" s="19">
        <f>IFERROR(('Cuadro 10-Panamá Oeste'!I11)/('Cuadro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31.664902470552221</v>
      </c>
      <c r="M11" s="106">
        <f>IFERROR(('Cuadro 11-Veraguas'!I11)/('Cuadro 2-Bocas del Toro'!I11+'Cuadro 3-Coclé'!I11+'Cuadro 4-Colón'!I11+'Cuadro 5-Chiriquí'!I11+'Cuadro 6-Darién'!I11+'Cuadro 7-Herrera'!I11+'Cuadro 8-Los Santos'!I11+'Cuadro 9-Panamá'!I11+'Cuadro 10-Panamá Oeste'!I11+'Cuadro 11-Veraguas'!I11)*100,"")</f>
        <v>1.9250278316412368</v>
      </c>
      <c r="N11" s="47"/>
    </row>
    <row r="12" spans="1:15" ht="41.25" customHeight="1">
      <c r="A12" s="56" t="s">
        <v>5</v>
      </c>
      <c r="B12" s="60" t="s">
        <v>54</v>
      </c>
      <c r="C12" s="14">
        <f>IFERROR(('Cuadro 2-Bocas del Toro'!I12+'Cuadro 3-Coclé'!I12+'Cuadro 4-Colón'!I12+'Cuadro 5-Chiriquí'!I12+'Cuadro 6-Darién'!I12+'Cuadro 7-Herrera'!I12+'Cuadro 8-Los Santos'!I12+'Cuadro 9-Panamá'!I12+'Cuadro 10-Panamá Oeste'!I12+'Cuadro 11-Veraguas'!I12)/('Cuadro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100</v>
      </c>
      <c r="D12" s="14">
        <f>IFERROR(('Cuadro 2-Bocas del Toro'!I12)/('Cuadro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0.15026451801440216</v>
      </c>
      <c r="E12" s="14">
        <f>IFERROR(('Cuadro 3-Coclé'!I12)/('Cuadro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0.82928514725725999</v>
      </c>
      <c r="F12" s="14">
        <f>IFERROR(('Cuadro 4-Colón'!I12)/('Cuadro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24.531412512444735</v>
      </c>
      <c r="G12" s="14">
        <f>IFERROR(('Cuadro 5-Chiriquí'!I12)/('Cuadro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3.3321392966590557</v>
      </c>
      <c r="H12" s="14">
        <f>IFERROR(('Cuadro 6-Darién'!I12)/('Cuadro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1.1094327759986575E-2</v>
      </c>
      <c r="I12" s="14">
        <f>IFERROR(('Cuadro 7-Herrera'!I12)/('Cuadro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0.14734481070941713</v>
      </c>
      <c r="J12" s="14">
        <f>IFERROR(('Cuadro 8-Los Santos'!I12)/('Cuadro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9.8984691734701369E-2</v>
      </c>
      <c r="K12" s="14">
        <f>IFERROR(('Cuadro 9-Panamá'!I12)/('Cuadro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68.371820876696106</v>
      </c>
      <c r="L12" s="19">
        <f>IFERROR(('Cuadro 10-Panamá Oeste'!I12)/('Cuadro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0.66853043472176532</v>
      </c>
      <c r="M12" s="106">
        <f>IFERROR(('Cuadro 11-Veraguas'!I12)/('Cuadro 2-Bocas del Toro'!I12+'Cuadro 3-Coclé'!I12+'Cuadro 4-Colón'!I12+'Cuadro 5-Chiriquí'!I12+'Cuadro 6-Darién'!I12+'Cuadro 7-Herrera'!I12+'Cuadro 8-Los Santos'!I12+'Cuadro 9-Panamá'!I12+'Cuadro 10-Panamá Oeste'!I12+'Cuadro 11-Veraguas'!I12)*100,"")</f>
        <v>1.859123384002578</v>
      </c>
      <c r="N12" s="47"/>
    </row>
    <row r="13" spans="1:15" ht="32.25" customHeight="1">
      <c r="A13" s="56" t="s">
        <v>6</v>
      </c>
      <c r="B13" s="60" t="s">
        <v>55</v>
      </c>
      <c r="C13" s="14">
        <f>IFERROR(('Cuadro 2-Bocas del Toro'!I13+'Cuadro 3-Coclé'!I13+'Cuadro 4-Colón'!I13+'Cuadro 5-Chiriquí'!I13+'Cuadro 6-Darién'!I13+'Cuadro 7-Herrera'!I13+'Cuadro 8-Los Santos'!I13+'Cuadro 9-Panamá'!I13+'Cuadro 10-Panamá Oeste'!I13+'Cuadro 11-Veraguas'!I13)/('Cuadro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100</v>
      </c>
      <c r="D13" s="14">
        <f>IFERROR(('Cuadro 2-Bocas del Toro'!I13)/('Cuadro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0.92478616094898225</v>
      </c>
      <c r="E13" s="14">
        <f>IFERROR(('Cuadro 3-Coclé'!I13)/('Cuadro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0.7810602393629964</v>
      </c>
      <c r="F13" s="14">
        <f>IFERROR(('Cuadro 4-Colón'!I13)/('Cuadro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23.937873171211947</v>
      </c>
      <c r="G13" s="14">
        <f>IFERROR(('Cuadro 5-Chiriquí'!I13)/('Cuadro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3.8945074072573442</v>
      </c>
      <c r="H13" s="14">
        <f>IFERROR(('Cuadro 6-Darién'!I13)/('Cuadro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1.1064821714586198E-2</v>
      </c>
      <c r="I13" s="14">
        <f>IFERROR(('Cuadro 7-Herrera'!I13)/('Cuadro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0.46767472107484465</v>
      </c>
      <c r="J13" s="14">
        <f>IFERROR(('Cuadro 8-Los Santos'!I13)/('Cuadro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0.42669252996396989</v>
      </c>
      <c r="K13" s="14">
        <f>IFERROR(('Cuadro 9-Panamá'!I13)/('Cuadro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54.480727304350417</v>
      </c>
      <c r="L13" s="19">
        <f>IFERROR(('Cuadro 10-Panamá Oeste'!I13)/('Cuadro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14.045730226698867</v>
      </c>
      <c r="M13" s="106">
        <f>IFERROR(('Cuadro 11-Veraguas'!I13)/('Cuadro 2-Bocas del Toro'!I13+'Cuadro 3-Coclé'!I13+'Cuadro 4-Colón'!I13+'Cuadro 5-Chiriquí'!I13+'Cuadro 6-Darién'!I13+'Cuadro 7-Herrera'!I13+'Cuadro 8-Los Santos'!I13+'Cuadro 9-Panamá'!I13+'Cuadro 10-Panamá Oeste'!I13+'Cuadro 11-Veraguas'!I13)*100,"")</f>
        <v>1.0298834174160407</v>
      </c>
      <c r="N13" s="47"/>
    </row>
    <row r="14" spans="1:15" ht="32.25" customHeight="1">
      <c r="A14" s="56" t="s">
        <v>7</v>
      </c>
      <c r="B14" s="60" t="s">
        <v>32</v>
      </c>
      <c r="C14" s="14">
        <f>IFERROR(('Cuadro 2-Bocas del Toro'!I14+'Cuadro 3-Coclé'!I14+'Cuadro 4-Colón'!I14+'Cuadro 5-Chiriquí'!I14+'Cuadro 6-Darién'!I14+'Cuadro 7-Herrera'!I14+'Cuadro 8-Los Santos'!I14+'Cuadro 9-Panamá'!I14+'Cuadro 10-Panamá Oeste'!I14+'Cuadro 11-Veraguas'!I14)/('Cuadro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100</v>
      </c>
      <c r="D14" s="14">
        <f>IFERROR(('Cuadro 2-Bocas del Toro'!I14)/('Cuadro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0.50041774229454172</v>
      </c>
      <c r="E14" s="14">
        <f>IFERROR(('Cuadro 3-Coclé'!I14)/('Cuadro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5.1796972712076075</v>
      </c>
      <c r="F14" s="14">
        <f>IFERROR(('Cuadro 4-Colón'!I14)/('Cuadro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0.88341635990793299</v>
      </c>
      <c r="G14" s="14">
        <f>IFERROR(('Cuadro 5-Chiriquí'!I14)/('Cuadro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3.3304698760332272</v>
      </c>
      <c r="H14" s="14">
        <f>IFERROR(('Cuadro 6-Darién'!I14)/('Cuadro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3.9899974652284785E-3</v>
      </c>
      <c r="I14" s="14">
        <f>IFERROR(('Cuadro 7-Herrera'!I14)/('Cuadro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0.47947682702205147</v>
      </c>
      <c r="J14" s="14">
        <f>IFERROR(('Cuadro 8-Los Santos'!I14)/('Cuadro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0.52895939570764361</v>
      </c>
      <c r="K14" s="14">
        <f>IFERROR(('Cuadro 9-Panamá'!I14)/('Cuadro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83.114531239921504</v>
      </c>
      <c r="L14" s="19">
        <f>IFERROR(('Cuadro 10-Panamá Oeste'!I14)/('Cuadro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2.573428686467544</v>
      </c>
      <c r="M14" s="106">
        <f>IFERROR(('Cuadro 11-Veraguas'!I14)/('Cuadro 2-Bocas del Toro'!I14+'Cuadro 3-Coclé'!I14+'Cuadro 4-Colón'!I14+'Cuadro 5-Chiriquí'!I14+'Cuadro 6-Darién'!I14+'Cuadro 7-Herrera'!I14+'Cuadro 8-Los Santos'!I14+'Cuadro 9-Panamá'!I14+'Cuadro 10-Panamá Oeste'!I14+'Cuadro 11-Veraguas'!I14)*100,"")</f>
        <v>3.4056126039727208</v>
      </c>
      <c r="N14" s="47"/>
    </row>
    <row r="15" spans="1:15" ht="32.25" customHeight="1">
      <c r="A15" s="56" t="s">
        <v>8</v>
      </c>
      <c r="B15" s="60" t="s">
        <v>56</v>
      </c>
      <c r="C15" s="14">
        <f>IFERROR(('Cuadro 2-Bocas del Toro'!I15+'Cuadro 3-Coclé'!I15+'Cuadro 4-Colón'!I15+'Cuadro 5-Chiriquí'!I15+'Cuadro 6-Darién'!I15+'Cuadro 7-Herrera'!I15+'Cuadro 8-Los Santos'!I15+'Cuadro 9-Panamá'!I15+'Cuadro 10-Panamá Oeste'!I15+'Cuadro 11-Veraguas'!I15)/('Cuadro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100</v>
      </c>
      <c r="D15" s="14">
        <f>IFERROR(('Cuadro 2-Bocas del Toro'!I15)/('Cuadro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4.4021814971224247</v>
      </c>
      <c r="E15" s="14">
        <f>IFERROR(('Cuadro 3-Coclé'!I15)/('Cuadro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6.0465434320656719</v>
      </c>
      <c r="F15" s="14">
        <f>IFERROR(('Cuadro 4-Colón'!I15)/('Cuadro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8.0868444469786631</v>
      </c>
      <c r="G15" s="14">
        <f>IFERROR(('Cuadro 5-Chiriquí'!I15)/('Cuadro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16.710521855087194</v>
      </c>
      <c r="H15" s="14">
        <f>IFERROR(('Cuadro 6-Darién'!I15)/('Cuadro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1.647904964727323</v>
      </c>
      <c r="I15" s="14">
        <f>IFERROR(('Cuadro 7-Herrera'!I15)/('Cuadro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2.6311287394031782</v>
      </c>
      <c r="J15" s="14">
        <f>IFERROR(('Cuadro 8-Los Santos'!I15)/('Cuadro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2.1036134167067249</v>
      </c>
      <c r="K15" s="14">
        <f>IFERROR(('Cuadro 9-Panamá'!I15)/('Cuadro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38.140197286771091</v>
      </c>
      <c r="L15" s="19">
        <f>IFERROR(('Cuadro 10-Panamá Oeste'!I15)/('Cuadro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14.671170374072656</v>
      </c>
      <c r="M15" s="106">
        <f>IFERROR(('Cuadro 11-Veraguas'!I15)/('Cuadro 2-Bocas del Toro'!I15+'Cuadro 3-Coclé'!I15+'Cuadro 4-Colón'!I15+'Cuadro 5-Chiriquí'!I15+'Cuadro 6-Darién'!I15+'Cuadro 7-Herrera'!I15+'Cuadro 8-Los Santos'!I15+'Cuadro 9-Panamá'!I15+'Cuadro 10-Panamá Oeste'!I15+'Cuadro 11-Veraguas'!I15)*100,"")</f>
        <v>5.5598939870650677</v>
      </c>
      <c r="N15" s="47"/>
    </row>
    <row r="16" spans="1:15" ht="32.25" customHeight="1">
      <c r="A16" s="56" t="s">
        <v>9</v>
      </c>
      <c r="B16" s="60" t="s">
        <v>57</v>
      </c>
      <c r="C16" s="14">
        <f>IFERROR(('Cuadro 2-Bocas del Toro'!I16+'Cuadro 3-Coclé'!I16+'Cuadro 4-Colón'!I16+'Cuadro 5-Chiriquí'!I16+'Cuadro 6-Darién'!I16+'Cuadro 7-Herrera'!I16+'Cuadro 8-Los Santos'!I16+'Cuadro 9-Panamá'!I16+'Cuadro 10-Panamá Oeste'!I16+'Cuadro 11-Veraguas'!I16)/('Cuadro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100</v>
      </c>
      <c r="D16" s="14">
        <f>IFERROR(('Cuadro 2-Bocas del Toro'!I16)/('Cuadro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0.3819605611727242</v>
      </c>
      <c r="E16" s="14">
        <f>IFERROR(('Cuadro 3-Coclé'!I16)/('Cuadro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1.2950845640643243</v>
      </c>
      <c r="F16" s="14">
        <f>IFERROR(('Cuadro 4-Colón'!I16)/('Cuadro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3.5662326711465222</v>
      </c>
      <c r="G16" s="14">
        <f>IFERROR(('Cuadro 5-Chiriquí'!I16)/('Cuadro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4.4314655389461208</v>
      </c>
      <c r="H16" s="14">
        <f>IFERROR(('Cuadro 6-Darién'!I16)/('Cuadro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0.10333526825404592</v>
      </c>
      <c r="I16" s="14">
        <f>IFERROR(('Cuadro 7-Herrera'!I16)/('Cuadro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1.1992890208893501</v>
      </c>
      <c r="J16" s="14">
        <f>IFERROR(('Cuadro 8-Los Santos'!I16)/('Cuadro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0.71618210960674222</v>
      </c>
      <c r="K16" s="14">
        <f>IFERROR(('Cuadro 9-Panamá'!I16)/('Cuadro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84.090936324291206</v>
      </c>
      <c r="L16" s="19">
        <f>IFERROR(('Cuadro 10-Panamá Oeste'!I16)/('Cuadro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2.6001792845948009</v>
      </c>
      <c r="M16" s="106">
        <f>IFERROR(('Cuadro 11-Veraguas'!I16)/('Cuadro 2-Bocas del Toro'!I16+'Cuadro 3-Coclé'!I16+'Cuadro 4-Colón'!I16+'Cuadro 5-Chiriquí'!I16+'Cuadro 6-Darién'!I16+'Cuadro 7-Herrera'!I16+'Cuadro 8-Los Santos'!I16+'Cuadro 9-Panamá'!I16+'Cuadro 10-Panamá Oeste'!I16+'Cuadro 11-Veraguas'!I16)*100,"")</f>
        <v>1.6153346570341749</v>
      </c>
      <c r="N16" s="47"/>
    </row>
    <row r="17" spans="1:14" ht="32.25" customHeight="1">
      <c r="A17" s="56" t="s">
        <v>70</v>
      </c>
      <c r="B17" s="60" t="s">
        <v>95</v>
      </c>
      <c r="C17" s="14">
        <f>IFERROR(('Cuadro 2-Bocas del Toro'!I17+'Cuadro 3-Coclé'!I17+'Cuadro 4-Colón'!I17+'Cuadro 5-Chiriquí'!I17+'Cuadro 6-Darién'!I17+'Cuadro 7-Herrera'!I17+'Cuadro 8-Los Santos'!I17+'Cuadro 9-Panamá'!I17+'Cuadro 10-Panamá Oeste'!I17+'Cuadro 11-Veraguas'!I17)/('Cuadro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100</v>
      </c>
      <c r="D17" s="14">
        <f>IFERROR(('Cuadro 2-Bocas del Toro'!I17)/('Cuadro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1.035510476886659</v>
      </c>
      <c r="E17" s="14">
        <f>IFERROR(('Cuadro 3-Coclé'!I17)/('Cuadro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1.6829367502291919</v>
      </c>
      <c r="F17" s="14">
        <f>IFERROR(('Cuadro 4-Colón'!I17)/('Cuadro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2.2307446483537001</v>
      </c>
      <c r="G17" s="14">
        <f>IFERROR(('Cuadro 5-Chiriquí'!I17)/('Cuadro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3.5816375799405589</v>
      </c>
      <c r="H17" s="14">
        <f>IFERROR(('Cuadro 6-Darién'!I17)/('Cuadro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0.19451926733518674</v>
      </c>
      <c r="I17" s="14">
        <f>IFERROR(('Cuadro 7-Herrera'!I17)/('Cuadro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0.7342649498470547</v>
      </c>
      <c r="J17" s="14">
        <f>IFERROR(('Cuadro 8-Los Santos'!I17)/('Cuadro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0.61622955089661369</v>
      </c>
      <c r="K17" s="14">
        <f>IFERROR(('Cuadro 9-Panamá'!I17)/('Cuadro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78.25386186176118</v>
      </c>
      <c r="L17" s="19">
        <f>IFERROR(('Cuadro 10-Panamá Oeste'!I17)/('Cuadro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10.396495789027965</v>
      </c>
      <c r="M17" s="106">
        <f>IFERROR(('Cuadro 11-Veraguas'!I17)/('Cuadro 2-Bocas del Toro'!I17+'Cuadro 3-Coclé'!I17+'Cuadro 4-Colón'!I17+'Cuadro 5-Chiriquí'!I17+'Cuadro 6-Darién'!I17+'Cuadro 7-Herrera'!I17+'Cuadro 8-Los Santos'!I17+'Cuadro 9-Panamá'!I17+'Cuadro 10-Panamá Oeste'!I17+'Cuadro 11-Veraguas'!I17)*100,"")</f>
        <v>1.2737991257218757</v>
      </c>
      <c r="N17" s="47"/>
    </row>
    <row r="18" spans="1:14" ht="32.25" customHeight="1">
      <c r="A18" s="56" t="s">
        <v>10</v>
      </c>
      <c r="B18" s="60" t="s">
        <v>58</v>
      </c>
      <c r="C18" s="14">
        <f>IFERROR(('Cuadro 2-Bocas del Toro'!I18+'Cuadro 3-Coclé'!I18+'Cuadro 4-Colón'!I18+'Cuadro 5-Chiriquí'!I18+'Cuadro 6-Darién'!I18+'Cuadro 7-Herrera'!I18+'Cuadro 8-Los Santos'!I18+'Cuadro 9-Panamá'!I18+'Cuadro 10-Panamá Oeste'!I18+'Cuadro 11-Veraguas'!I18)/('Cuadro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100</v>
      </c>
      <c r="D18" s="14">
        <f>IFERROR(('Cuadro 2-Bocas del Toro'!I18)/('Cuadro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9.6664857974885068E-2</v>
      </c>
      <c r="E18" s="14">
        <f>IFERROR(('Cuadro 3-Coclé'!I18)/('Cuadro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0.55048604862375528</v>
      </c>
      <c r="F18" s="14">
        <f>IFERROR(('Cuadro 4-Colón'!I18)/('Cuadro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1.2660667312651963</v>
      </c>
      <c r="G18" s="14">
        <f>IFERROR(('Cuadro 5-Chiriquí'!I18)/('Cuadro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4.7610346225830389</v>
      </c>
      <c r="H18" s="14">
        <f>IFERROR(('Cuadro 6-Darién'!I18)/('Cuadro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8.9302779341191019E-2</v>
      </c>
      <c r="I18" s="14">
        <f>IFERROR(('Cuadro 7-Herrera'!I18)/('Cuadro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0.534907983463635</v>
      </c>
      <c r="J18" s="14">
        <f>IFERROR(('Cuadro 8-Los Santos'!I18)/('Cuadro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0.10144245367876864</v>
      </c>
      <c r="K18" s="14">
        <f>IFERROR(('Cuadro 9-Panamá'!I18)/('Cuadro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85.732794270517047</v>
      </c>
      <c r="L18" s="19">
        <f>IFERROR(('Cuadro 10-Panamá Oeste'!I18)/('Cuadro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6.3542227557618665</v>
      </c>
      <c r="M18" s="106">
        <f>IFERROR(('Cuadro 11-Veraguas'!I18)/('Cuadro 2-Bocas del Toro'!I18+'Cuadro 3-Coclé'!I18+'Cuadro 4-Colón'!I18+'Cuadro 5-Chiriquí'!I18+'Cuadro 6-Darién'!I18+'Cuadro 7-Herrera'!I18+'Cuadro 8-Los Santos'!I18+'Cuadro 9-Panamá'!I18+'Cuadro 10-Panamá Oeste'!I18+'Cuadro 11-Veraguas'!I18)*100,"")</f>
        <v>0.5130774967906061</v>
      </c>
      <c r="N18" s="47"/>
    </row>
    <row r="19" spans="1:14" ht="32.25" customHeight="1">
      <c r="A19" s="56" t="s">
        <v>59</v>
      </c>
      <c r="B19" s="60" t="s">
        <v>60</v>
      </c>
      <c r="C19" s="14">
        <f>IFERROR(('Cuadro 2-Bocas del Toro'!I19+'Cuadro 3-Coclé'!I19+'Cuadro 4-Colón'!I19+'Cuadro 5-Chiriquí'!I19+'Cuadro 6-Darién'!I19+'Cuadro 7-Herrera'!I19+'Cuadro 8-Los Santos'!I19+'Cuadro 9-Panamá'!I19+'Cuadro 10-Panamá Oeste'!I19+'Cuadro 11-Veraguas'!I19)/('Cuadro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100</v>
      </c>
      <c r="D19" s="14">
        <f>IFERROR(('Cuadro 2-Bocas del Toro'!I19)/('Cuadro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9.2764744408805472E-3</v>
      </c>
      <c r="E19" s="14">
        <f>IFERROR(('Cuadro 3-Coclé'!I19)/('Cuadro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5.9647736797220359E-2</v>
      </c>
      <c r="F19" s="14">
        <f>IFERROR(('Cuadro 4-Colón'!I19)/('Cuadro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0.20343108080447958</v>
      </c>
      <c r="G19" s="14">
        <f>IFERROR(('Cuadro 5-Chiriquí'!I19)/('Cuadro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2.4365030583792926</v>
      </c>
      <c r="H19" s="14">
        <f>IFERROR(('Cuadro 6-Darién'!I19)/('Cuadro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9.2764744408805472E-3</v>
      </c>
      <c r="I19" s="14">
        <f>IFERROR(('Cuadro 7-Herrera'!I19)/('Cuadro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0.59097924884383968</v>
      </c>
      <c r="J19" s="14">
        <f>IFERROR(('Cuadro 8-Los Santos'!I19)/('Cuadro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1.0913499342212417E-2</v>
      </c>
      <c r="K19" s="14">
        <f>IFERROR(('Cuadro 9-Panamá'!I19)/('Cuadro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95.113833419881374</v>
      </c>
      <c r="L19" s="19">
        <f>IFERROR(('Cuadro 10-Panamá Oeste'!I19)/('Cuadro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1.4276702726534074</v>
      </c>
      <c r="M19" s="106">
        <f>IFERROR(('Cuadro 11-Veraguas'!I19)/('Cuadro 2-Bocas del Toro'!I19+'Cuadro 3-Coclé'!I19+'Cuadro 4-Colón'!I19+'Cuadro 5-Chiriquí'!I19+'Cuadro 6-Darién'!I19+'Cuadro 7-Herrera'!I19+'Cuadro 8-Los Santos'!I19+'Cuadro 9-Panamá'!I19+'Cuadro 10-Panamá Oeste'!I19+'Cuadro 11-Veraguas'!I19)*100,"")</f>
        <v>0.13846873441641339</v>
      </c>
      <c r="N19" s="47"/>
    </row>
    <row r="20" spans="1:14" ht="32.25" customHeight="1">
      <c r="A20" s="56" t="s">
        <v>66</v>
      </c>
      <c r="B20" s="60" t="s">
        <v>67</v>
      </c>
      <c r="C20" s="14">
        <f>IFERROR(('Cuadro 2-Bocas del Toro'!I20+'Cuadro 3-Coclé'!I20+'Cuadro 4-Colón'!I20+'Cuadro 5-Chiriquí'!I20+'Cuadro 6-Darién'!I20+'Cuadro 7-Herrera'!I20+'Cuadro 8-Los Santos'!I20+'Cuadro 9-Panamá'!I20+'Cuadro 10-Panamá Oeste'!I20+'Cuadro 11-Veraguas'!I20)/('Cuadro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100</v>
      </c>
      <c r="D20" s="14">
        <f>IFERROR(('Cuadro 2-Bocas del Toro'!I20)/('Cuadro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9.7661730066428504E-2</v>
      </c>
      <c r="E20" s="14">
        <f>IFERROR(('Cuadro 3-Coclé'!I20)/('Cuadro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0.25760528392102827</v>
      </c>
      <c r="F20" s="14">
        <f>IFERROR(('Cuadro 4-Colón'!I20)/('Cuadro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3.9385095941614203</v>
      </c>
      <c r="G20" s="14">
        <f>IFERROR(('Cuadro 5-Chiriquí'!I20)/('Cuadro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0.93835218523263175</v>
      </c>
      <c r="H20" s="14">
        <f>IFERROR(('Cuadro 6-Darién'!I20)/('Cuadro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1.8217783158130988E-3</v>
      </c>
      <c r="I20" s="14">
        <f>IFERROR(('Cuadro 7-Herrera'!I20)/('Cuadro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0.19368650547778751</v>
      </c>
      <c r="J20" s="14">
        <f>IFERROR(('Cuadro 8-Los Santos'!I20)/('Cuadro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7.6155001064106456E-2</v>
      </c>
      <c r="K20" s="14">
        <f>IFERROR(('Cuadro 9-Panamá'!I20)/('Cuadro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93.481283667924529</v>
      </c>
      <c r="L20" s="19">
        <f>IFERROR(('Cuadro 10-Panamá Oeste'!I20)/('Cuadro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0.14605609855357804</v>
      </c>
      <c r="M20" s="106">
        <f>IFERROR(('Cuadro 11-Veraguas'!I20)/('Cuadro 2-Bocas del Toro'!I20+'Cuadro 3-Coclé'!I20+'Cuadro 4-Colón'!I20+'Cuadro 5-Chiriquí'!I20+'Cuadro 6-Darién'!I20+'Cuadro 7-Herrera'!I20+'Cuadro 8-Los Santos'!I20+'Cuadro 9-Panamá'!I20+'Cuadro 10-Panamá Oeste'!I20+'Cuadro 11-Veraguas'!I20)*100,"")</f>
        <v>0.86886815528267236</v>
      </c>
      <c r="N20" s="47"/>
    </row>
    <row r="21" spans="1:14" ht="32.25" customHeight="1">
      <c r="A21" s="66" t="s">
        <v>61</v>
      </c>
      <c r="B21" s="67" t="s">
        <v>62</v>
      </c>
      <c r="C21" s="145">
        <f>IFERROR(('Cuadro 2-Bocas del Toro'!I21+'Cuadro 3-Coclé'!I21+'Cuadro 4-Colón'!I21+'Cuadro 5-Chiriquí'!I21+'Cuadro 6-Darién'!I21+'Cuadro 7-Herrera'!I21+'Cuadro 8-Los Santos'!I21+'Cuadro 9-Panamá'!I21+'Cuadro 10-Panamá Oeste'!I21+'Cuadro 11-Veraguas'!I21)/('Cuadro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100</v>
      </c>
      <c r="D21" s="145">
        <f>IFERROR(('Cuadro 2-Bocas del Toro'!I21)/('Cuadro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3.5688956196897879</v>
      </c>
      <c r="E21" s="145">
        <f>IFERROR(('Cuadro 3-Coclé'!I21)/('Cuadro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9.3826102878374247</v>
      </c>
      <c r="F21" s="145">
        <f>IFERROR(('Cuadro 4-Colón'!I21)/('Cuadro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2.9686475740646414</v>
      </c>
      <c r="G21" s="145">
        <f>IFERROR(('Cuadro 5-Chiriquí'!I21)/('Cuadro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9.3068659932484437</v>
      </c>
      <c r="H21" s="145">
        <f>IFERROR(('Cuadro 6-Darién'!I21)/('Cuadro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0.39246987598567323</v>
      </c>
      <c r="I21" s="145">
        <f>IFERROR(('Cuadro 7-Herrera'!I21)/('Cuadro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2.6685235512520658</v>
      </c>
      <c r="J21" s="145">
        <f>IFERROR(('Cuadro 8-Los Santos'!I21)/('Cuadro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2.7174125323437073</v>
      </c>
      <c r="K21" s="145">
        <f>IFERROR(('Cuadro 9-Panamá'!I21)/('Cuadro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44.598973000849433</v>
      </c>
      <c r="L21" s="132">
        <f>IFERROR(('Cuadro 10-Panamá Oeste'!I21)/('Cuadro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19.77287679706366</v>
      </c>
      <c r="M21" s="117">
        <f>IFERROR(('Cuadro 11-Veraguas'!I21)/('Cuadro 2-Bocas del Toro'!I21+'Cuadro 3-Coclé'!I21+'Cuadro 4-Colón'!I21+'Cuadro 5-Chiriquí'!I21+'Cuadro 6-Darién'!I21+'Cuadro 7-Herrera'!I21+'Cuadro 8-Los Santos'!I21+'Cuadro 9-Panamá'!I21+'Cuadro 10-Panamá Oeste'!I21+'Cuadro 11-Veraguas'!I21)*100,"")</f>
        <v>4.6227247676651571</v>
      </c>
      <c r="N21" s="47"/>
    </row>
    <row r="22" spans="1:14" ht="32.25" customHeight="1">
      <c r="A22" s="25"/>
      <c r="B22" s="22" t="s">
        <v>93</v>
      </c>
      <c r="C22" s="145">
        <f>IFERROR(('Cuadro 2-Bocas del Toro'!I22+'Cuadro 3-Coclé'!I22+'Cuadro 4-Colón'!I22+'Cuadro 5-Chiriquí'!I22+'Cuadro 6-Darién'!I22+'Cuadro 7-Herrera'!I22+'Cuadro 8-Los Santos'!I22+'Cuadro 9-Panamá'!I22+'Cuadro 10-Panamá Oeste'!I22+'Cuadro 11-Veraguas'!I22)/('Cuadro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100</v>
      </c>
      <c r="D22" s="145">
        <f>IFERROR(('Cuadro 2-Bocas del Toro'!I22)/('Cuadro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3.9640206923024883</v>
      </c>
      <c r="E22" s="145">
        <f>IFERROR(('Cuadro 3-Coclé'!I22)/('Cuadro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4.9599542087994779</v>
      </c>
      <c r="F22" s="145">
        <f>IFERROR(('Cuadro 4-Colón'!I22)/('Cuadro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5.4441255500250003</v>
      </c>
      <c r="G22" s="145">
        <f>IFERROR(('Cuadro 5-Chiriquí'!I22)/('Cuadro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14.113191891722717</v>
      </c>
      <c r="H22" s="145">
        <f>IFERROR(('Cuadro 6-Darién'!I22)/('Cuadro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1.3691950469560108</v>
      </c>
      <c r="I22" s="145">
        <f>IFERROR(('Cuadro 7-Herrera'!I22)/('Cuadro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3.3811736692146939</v>
      </c>
      <c r="J22" s="145">
        <f>IFERROR(('Cuadro 8-Los Santos'!I22)/('Cuadro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2.719780585567618</v>
      </c>
      <c r="K22" s="145">
        <f>IFERROR(('Cuadro 9-Panamá'!I22)/('Cuadro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39.280836602145982</v>
      </c>
      <c r="L22" s="132">
        <f>IFERROR(('Cuadro 10-Panamá Oeste'!I22)/('Cuadro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17.941410757466546</v>
      </c>
      <c r="M22" s="117">
        <f>IFERROR(('Cuadro 11-Veraguas'!I22)/('Cuadro 2-Bocas del Toro'!I22+'Cuadro 3-Coclé'!I22+'Cuadro 4-Colón'!I22+'Cuadro 5-Chiriquí'!I22+'Cuadro 6-Darién'!I22+'Cuadro 7-Herrera'!I22+'Cuadro 8-Los Santos'!I22+'Cuadro 9-Panamá'!I22+'Cuadro 10-Panamá Oeste'!I22+'Cuadro 11-Veraguas'!I22)*100,"")</f>
        <v>6.8263109957994699</v>
      </c>
      <c r="N22" s="47"/>
    </row>
    <row r="23" spans="1:14" s="36" customFormat="1" ht="32.25" customHeight="1">
      <c r="A23" s="34"/>
      <c r="B23" s="27" t="s">
        <v>33</v>
      </c>
      <c r="C23" s="146">
        <f>IFERROR(('Cuadro 2-Bocas del Toro'!I23+'Cuadro 3-Coclé'!I23+'Cuadro 4-Colón'!I23+'Cuadro 5-Chiriquí'!I23+'Cuadro 6-Darién'!I23+'Cuadro 7-Herrera'!I23+'Cuadro 8-Los Santos'!I23+'Cuadro 9-Panamá'!I23+'Cuadro 10-Panamá Oeste'!I23+'Cuadro 11-Veraguas'!I23)/('Cuadro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100</v>
      </c>
      <c r="D23" s="146">
        <f>IFERROR(('Cuadro 2-Bocas del Toro'!I23)/('Cuadro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1.4489781420837213</v>
      </c>
      <c r="E23" s="146">
        <f>IFERROR(('Cuadro 3-Coclé'!I23)/('Cuadro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2.9527541604875465</v>
      </c>
      <c r="F23" s="146">
        <f>IFERROR(('Cuadro 4-Colón'!I23)/('Cuadro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10.532288618779875</v>
      </c>
      <c r="G23" s="146">
        <f>IFERROR(('Cuadro 5-Chiriquí'!I23)/('Cuadro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6.8766384249466839</v>
      </c>
      <c r="H23" s="146">
        <f>IFERROR(('Cuadro 6-Darién'!I23)/('Cuadro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0.40076416580917323</v>
      </c>
      <c r="I23" s="146">
        <f>IFERROR(('Cuadro 7-Herrera'!I23)/('Cuadro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1.2498338193995586</v>
      </c>
      <c r="J23" s="146">
        <f>IFERROR(('Cuadro 8-Los Santos'!I23)/('Cuadro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1.2309118258069782</v>
      </c>
      <c r="K23" s="146">
        <f>IFERROR(('Cuadro 9-Panamá'!I23)/('Cuadro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59.711285204425558</v>
      </c>
      <c r="L23" s="144">
        <f>IFERROR(('Cuadro 10-Panamá Oeste'!I23)/('Cuadro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13.005750149138976</v>
      </c>
      <c r="M23" s="129">
        <f>IFERROR(('Cuadro 11-Veraguas'!I23)/('Cuadro 2-Bocas del Toro'!I23+'Cuadro 3-Coclé'!I23+'Cuadro 4-Colón'!I23+'Cuadro 5-Chiriquí'!I23+'Cuadro 6-Darién'!I23+'Cuadro 7-Herrera'!I23+'Cuadro 8-Los Santos'!I23+'Cuadro 9-Panamá'!I23+'Cuadro 10-Panamá Oeste'!I23+'Cuadro 11-Veraguas'!I23)*100,"")</f>
        <v>2.5907954891219487</v>
      </c>
      <c r="N23" s="47"/>
    </row>
    <row r="24" spans="1:14" ht="32.25" customHeight="1">
      <c r="A24" s="21" t="s">
        <v>25</v>
      </c>
      <c r="B24" s="37" t="s">
        <v>34</v>
      </c>
      <c r="C24" s="145">
        <f>IFERROR(('Cuadro 2-Bocas del Toro'!I24+'Cuadro 3-Coclé'!I24+'Cuadro 4-Colón'!I24+'Cuadro 5-Chiriquí'!I24+'Cuadro 6-Darién'!I24+'Cuadro 7-Herrera'!I24+'Cuadro 8-Los Santos'!I24+'Cuadro 9-Panamá'!I24+'Cuadro 10-Panamá Oeste'!I24+'Cuadro 11-Veraguas'!I24)/('Cuadro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100</v>
      </c>
      <c r="D24" s="145">
        <f>IFERROR(('Cuadro 2-Bocas del Toro'!I24)/('Cuadro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1.763839095801673</v>
      </c>
      <c r="E24" s="145">
        <f>IFERROR(('Cuadro 3-Coclé'!I24)/('Cuadro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3.003422951995832</v>
      </c>
      <c r="F24" s="145">
        <f>IFERROR(('Cuadro 4-Colón'!I24)/('Cuadro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6.6575977347388289</v>
      </c>
      <c r="G24" s="145">
        <f>IFERROR(('Cuadro 5-Chiriquí'!I24)/('Cuadro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7.9603844343244257</v>
      </c>
      <c r="H24" s="145">
        <f>IFERROR(('Cuadro 6-Darién'!I24)/('Cuadro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0.29820887989536798</v>
      </c>
      <c r="I24" s="145">
        <f>IFERROR(('Cuadro 7-Herrera'!I24)/('Cuadro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1.981821208739782</v>
      </c>
      <c r="J24" s="145">
        <f>IFERROR(('Cuadro 8-Los Santos'!I24)/('Cuadro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1.2941884638130259</v>
      </c>
      <c r="K24" s="145">
        <f>IFERROR(('Cuadro 9-Panamá'!I24)/('Cuadro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58.626392785985395</v>
      </c>
      <c r="L24" s="132">
        <f>IFERROR(('Cuadro 10-Panamá Oeste'!I24)/('Cuadro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15.521157108521308</v>
      </c>
      <c r="M24" s="117">
        <f>IFERROR(('Cuadro 11-Veraguas'!I24)/('Cuadro 2-Bocas del Toro'!I24+'Cuadro 3-Coclé'!I24+'Cuadro 4-Colón'!I24+'Cuadro 5-Chiriquí'!I24+'Cuadro 6-Darién'!I24+'Cuadro 7-Herrera'!I24+'Cuadro 8-Los Santos'!I24+'Cuadro 9-Panamá'!I24+'Cuadro 10-Panamá Oeste'!I24+'Cuadro 11-Veraguas'!I24)*100,"")</f>
        <v>2.8929873361843459</v>
      </c>
      <c r="N24" s="47"/>
    </row>
    <row r="25" spans="1:14" ht="50.25" customHeight="1">
      <c r="A25" s="30"/>
      <c r="B25" s="38" t="s">
        <v>35</v>
      </c>
      <c r="C25" s="146">
        <f>IFERROR(('Cuadro 2-Bocas del Toro'!I25+'Cuadro 3-Coclé'!I25+'Cuadro 4-Colón'!I25+'Cuadro 5-Chiriquí'!I25+'Cuadro 6-Darién'!I25+'Cuadro 7-Herrera'!I25+'Cuadro 8-Los Santos'!I25+'Cuadro 9-Panamá'!I25+'Cuadro 10-Panamá Oeste'!I25+'Cuadro 11-Veraguas'!I25)/('Cuadro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100</v>
      </c>
      <c r="D25" s="146">
        <f>IFERROR(('Cuadro 2-Bocas del Toro'!I25)/('Cuadro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1.4573199398308125</v>
      </c>
      <c r="E25" s="146">
        <f>IFERROR(('Cuadro 3-Coclé'!I25)/('Cuadro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2.9542203174439323</v>
      </c>
      <c r="F25" s="146">
        <f>IFERROR(('Cuadro 4-Colón'!I25)/('Cuadro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10.424518877320724</v>
      </c>
      <c r="G25" s="146">
        <f>IFERROR(('Cuadro 5-Chiriquí'!I25)/('Cuadro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6.9067619213214133</v>
      </c>
      <c r="H25" s="146">
        <f>IFERROR(('Cuadro 6-Darién'!I25)/('Cuadro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0.39790389503380608</v>
      </c>
      <c r="I25" s="146">
        <f>IFERROR(('Cuadro 7-Herrera'!I25)/('Cuadro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1.2707597334098268</v>
      </c>
      <c r="J25" s="146">
        <f>IFERROR(('Cuadro 8-Los Santos'!I25)/('Cuadro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1.2328715281437714</v>
      </c>
      <c r="K25" s="146">
        <f>IFERROR(('Cuadro 9-Panamá'!I25)/('Cuadro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59.676644767996393</v>
      </c>
      <c r="L25" s="144">
        <f>IFERROR(('Cuadro 10-Panamá Oeste'!I25)/('Cuadro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13.079522169731197</v>
      </c>
      <c r="M25" s="129">
        <f>IFERROR(('Cuadro 11-Veraguas'!I25)/('Cuadro 2-Bocas del Toro'!I25+'Cuadro 3-Coclé'!I25+'Cuadro 4-Colón'!I25+'Cuadro 5-Chiriquí'!I25+'Cuadro 6-Darién'!I25+'Cuadro 7-Herrera'!I25+'Cuadro 8-Los Santos'!I25+'Cuadro 9-Panamá'!I25+'Cuadro 10-Panamá Oeste'!I25+'Cuadro 11-Veraguas'!I25)*100,"")</f>
        <v>2.599476849768136</v>
      </c>
      <c r="N25" s="47"/>
    </row>
    <row r="26" spans="1:14" ht="15">
      <c r="A26" s="7"/>
      <c r="B26" s="17"/>
      <c r="C26" s="39"/>
      <c r="D26" s="41"/>
      <c r="E26" s="39"/>
      <c r="F26" s="39"/>
      <c r="G26" s="39"/>
      <c r="H26" s="39"/>
      <c r="I26" s="39"/>
      <c r="J26" s="39"/>
      <c r="K26" s="39"/>
      <c r="L26" s="39"/>
      <c r="M26" s="39"/>
      <c r="N26" s="113"/>
    </row>
    <row r="27" spans="1:14" ht="13.5" customHeight="1">
      <c r="A27" s="222" t="s">
        <v>65</v>
      </c>
      <c r="B27" s="222"/>
      <c r="C27" s="222"/>
      <c r="D27" s="222"/>
      <c r="E27" s="222"/>
      <c r="F27" s="222"/>
      <c r="G27" s="9"/>
      <c r="H27" s="9"/>
      <c r="I27" s="8"/>
      <c r="J27" s="8"/>
      <c r="K27" s="8"/>
      <c r="L27" s="8"/>
    </row>
    <row r="28" spans="1:14" s="9" customFormat="1" ht="13.5" customHeight="1">
      <c r="A28" s="64" t="s">
        <v>82</v>
      </c>
      <c r="B28" s="43"/>
      <c r="C28" s="43"/>
      <c r="D28" s="43"/>
      <c r="E28" s="43"/>
      <c r="F28" s="43"/>
      <c r="I28" s="12"/>
      <c r="J28" s="12"/>
      <c r="K28" s="12"/>
      <c r="L28" s="12"/>
      <c r="N28" s="92"/>
    </row>
    <row r="29" spans="1:14" s="9" customFormat="1" ht="13.5" customHeight="1">
      <c r="A29" s="64" t="s">
        <v>81</v>
      </c>
      <c r="B29" s="43"/>
      <c r="C29" s="43"/>
      <c r="D29" s="43"/>
      <c r="E29" s="43"/>
      <c r="F29" s="43"/>
      <c r="I29" s="10"/>
      <c r="J29" s="10"/>
      <c r="K29" s="1"/>
      <c r="L29" s="1"/>
      <c r="N29" s="92"/>
    </row>
    <row r="30" spans="1:14" s="9" customFormat="1" ht="13.5" customHeight="1">
      <c r="A30" s="64" t="s">
        <v>351</v>
      </c>
      <c r="B30" s="64"/>
      <c r="C30" s="64"/>
      <c r="D30" s="64"/>
      <c r="E30" s="64"/>
      <c r="F30" s="64"/>
      <c r="I30" s="10"/>
      <c r="J30" s="10"/>
      <c r="K30" s="1"/>
      <c r="L30" s="1"/>
      <c r="N30" s="92"/>
    </row>
    <row r="31" spans="1:14" s="9" customFormat="1" ht="13.5" customHeight="1">
      <c r="A31" s="64" t="s">
        <v>98</v>
      </c>
      <c r="B31" s="64"/>
      <c r="C31" s="64"/>
      <c r="D31" s="64"/>
      <c r="E31" s="64"/>
      <c r="F31" s="64"/>
      <c r="G31" s="10"/>
      <c r="H31" s="10"/>
      <c r="I31" s="10"/>
      <c r="J31" s="10"/>
      <c r="K31" s="1"/>
      <c r="L31" s="1"/>
      <c r="N31" s="92"/>
    </row>
    <row r="32" spans="1:14" s="9" customFormat="1" ht="13.5" customHeight="1">
      <c r="A32" s="18" t="s">
        <v>99</v>
      </c>
      <c r="B32" s="45"/>
      <c r="G32" s="10"/>
      <c r="H32" s="10"/>
      <c r="I32" s="10"/>
      <c r="J32" s="10"/>
      <c r="K32" s="1"/>
      <c r="L32" s="1"/>
      <c r="N32" s="92"/>
    </row>
    <row r="33" spans="1:14" s="9" customFormat="1" ht="13.5" customHeight="1">
      <c r="A33" s="18" t="s">
        <v>36</v>
      </c>
      <c r="B33" s="104"/>
      <c r="G33" s="10"/>
      <c r="H33" s="10"/>
      <c r="I33" s="10"/>
      <c r="J33" s="10"/>
      <c r="K33" s="1"/>
      <c r="L33" s="1"/>
      <c r="N33" s="92"/>
    </row>
    <row r="34" spans="1:14" s="9" customFormat="1" ht="13.5" customHeight="1">
      <c r="A34" s="9" t="s">
        <v>37</v>
      </c>
      <c r="B34" s="46"/>
      <c r="C34" s="100"/>
      <c r="D34" s="100"/>
      <c r="E34" s="101"/>
      <c r="F34" s="101"/>
      <c r="G34" s="10"/>
      <c r="H34" s="10"/>
      <c r="I34" s="10"/>
      <c r="J34" s="10"/>
      <c r="K34" s="1"/>
      <c r="L34" s="1"/>
      <c r="N34" s="92"/>
    </row>
    <row r="35" spans="1:14" ht="13.5" customHeight="1">
      <c r="A35" s="9" t="s">
        <v>86</v>
      </c>
      <c r="B35" s="101"/>
      <c r="C35" s="100"/>
      <c r="D35" s="100"/>
      <c r="E35" s="101"/>
      <c r="F35" s="101"/>
      <c r="G35" s="103"/>
      <c r="H35" s="103"/>
      <c r="I35" s="103"/>
      <c r="J35" s="103"/>
      <c r="K35" s="103"/>
      <c r="L35" s="103"/>
      <c r="M35" s="103"/>
    </row>
    <row r="36" spans="1:14" ht="13.5" customHeight="1">
      <c r="A36" s="18" t="s">
        <v>23</v>
      </c>
      <c r="B36" s="64"/>
      <c r="C36" s="64"/>
      <c r="D36" s="64"/>
      <c r="E36" s="100"/>
      <c r="F36" s="100"/>
      <c r="G36" s="48"/>
      <c r="H36" s="48"/>
      <c r="I36" s="48"/>
      <c r="J36" s="48"/>
      <c r="K36" s="48"/>
      <c r="L36" s="48"/>
      <c r="M36" s="48"/>
    </row>
    <row r="37" spans="1:14">
      <c r="A37" s="64"/>
      <c r="B37" s="118"/>
      <c r="C37" s="118"/>
      <c r="D37" s="118"/>
      <c r="E37" s="118"/>
      <c r="F37" s="118"/>
      <c r="G37" s="51"/>
      <c r="H37" s="51"/>
      <c r="I37" s="51"/>
      <c r="J37" s="51"/>
      <c r="K37" s="51"/>
      <c r="L37" s="51"/>
      <c r="M37" s="51"/>
    </row>
    <row r="38" spans="1:14">
      <c r="A38" s="18"/>
      <c r="D38" s="103"/>
      <c r="E38" s="103"/>
      <c r="F38" s="103"/>
      <c r="G38" s="51"/>
      <c r="H38" s="51"/>
      <c r="I38" s="51"/>
      <c r="J38" s="51"/>
      <c r="K38" s="51"/>
      <c r="L38" s="51"/>
      <c r="M38" s="51"/>
    </row>
    <row r="39" spans="1:14">
      <c r="C39" s="48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4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</sheetData>
  <mergeCells count="4">
    <mergeCell ref="A27:F27"/>
    <mergeCell ref="B5:B6"/>
    <mergeCell ref="A5:A6"/>
    <mergeCell ref="C5:M5"/>
  </mergeCells>
  <hyperlinks>
    <hyperlink ref="O5" location="Índice!A1" display="Índice"/>
  </hyperlinks>
  <printOptions horizontalCentered="1"/>
  <pageMargins left="0.70866141732283472" right="0.70866141732283472" top="0.74803149606299213" bottom="0.74803149606299213" header="0.31496062992125984" footer="0.31496062992125984"/>
  <pageSetup scale="3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P2"/>
  <sheetViews>
    <sheetView zoomScaleNormal="10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4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P80"/>
  <sheetViews>
    <sheetView zoomScaleNormal="100" workbookViewId="0"/>
  </sheetViews>
  <sheetFormatPr baseColWidth="10" defaultRowHeight="12.75"/>
  <cols>
    <col min="1" max="1" width="42.140625" style="101" customWidth="1"/>
    <col min="2" max="5" width="13.7109375" style="101" customWidth="1"/>
    <col min="6" max="6" width="13.7109375" style="55" customWidth="1"/>
    <col min="7" max="7" width="13.7109375" style="101" customWidth="1"/>
    <col min="8" max="8" width="13.7109375" style="89" customWidth="1"/>
    <col min="9" max="10" width="11.42578125" style="89"/>
    <col min="11" max="157" width="11.42578125" style="101"/>
    <col min="158" max="158" width="32.7109375" style="101" customWidth="1"/>
    <col min="159" max="172" width="8.7109375" style="101" customWidth="1"/>
    <col min="173" max="173" width="9.85546875" style="101" customWidth="1"/>
    <col min="174" max="219" width="11.42578125" style="101"/>
    <col min="220" max="220" width="42.140625" style="101" customWidth="1"/>
    <col min="221" max="224" width="13.7109375" style="101" customWidth="1"/>
    <col min="225" max="232" width="12.140625" style="101" bestFit="1" customWidth="1"/>
    <col min="233" max="413" width="11.42578125" style="101"/>
    <col min="414" max="414" width="32.7109375" style="101" customWidth="1"/>
    <col min="415" max="428" width="8.7109375" style="101" customWidth="1"/>
    <col min="429" max="429" width="9.85546875" style="101" customWidth="1"/>
    <col min="430" max="475" width="11.42578125" style="101"/>
    <col min="476" max="476" width="42.140625" style="101" customWidth="1"/>
    <col min="477" max="480" width="13.7109375" style="101" customWidth="1"/>
    <col min="481" max="488" width="12.140625" style="101" bestFit="1" customWidth="1"/>
    <col min="489" max="669" width="11.42578125" style="101"/>
    <col min="670" max="670" width="32.7109375" style="101" customWidth="1"/>
    <col min="671" max="684" width="8.7109375" style="101" customWidth="1"/>
    <col min="685" max="685" width="9.85546875" style="101" customWidth="1"/>
    <col min="686" max="731" width="11.42578125" style="101"/>
    <col min="732" max="732" width="42.140625" style="101" customWidth="1"/>
    <col min="733" max="736" width="13.7109375" style="101" customWidth="1"/>
    <col min="737" max="744" width="12.140625" style="101" bestFit="1" customWidth="1"/>
    <col min="745" max="925" width="11.42578125" style="101"/>
    <col min="926" max="926" width="32.7109375" style="101" customWidth="1"/>
    <col min="927" max="940" width="8.7109375" style="101" customWidth="1"/>
    <col min="941" max="941" width="9.85546875" style="101" customWidth="1"/>
    <col min="942" max="987" width="11.42578125" style="101"/>
    <col min="988" max="988" width="42.140625" style="101" customWidth="1"/>
    <col min="989" max="992" width="13.7109375" style="101" customWidth="1"/>
    <col min="993" max="1000" width="12.140625" style="101" bestFit="1" customWidth="1"/>
    <col min="1001" max="1181" width="11.42578125" style="101"/>
    <col min="1182" max="1182" width="32.7109375" style="101" customWidth="1"/>
    <col min="1183" max="1196" width="8.7109375" style="101" customWidth="1"/>
    <col min="1197" max="1197" width="9.85546875" style="101" customWidth="1"/>
    <col min="1198" max="1243" width="11.42578125" style="101"/>
    <col min="1244" max="1244" width="42.140625" style="101" customWidth="1"/>
    <col min="1245" max="1248" width="13.7109375" style="101" customWidth="1"/>
    <col min="1249" max="1256" width="12.140625" style="101" bestFit="1" customWidth="1"/>
    <col min="1257" max="1437" width="11.42578125" style="101"/>
    <col min="1438" max="1438" width="32.7109375" style="101" customWidth="1"/>
    <col min="1439" max="1452" width="8.7109375" style="101" customWidth="1"/>
    <col min="1453" max="1453" width="9.85546875" style="101" customWidth="1"/>
    <col min="1454" max="1499" width="11.42578125" style="101"/>
    <col min="1500" max="1500" width="42.140625" style="101" customWidth="1"/>
    <col min="1501" max="1504" width="13.7109375" style="101" customWidth="1"/>
    <col min="1505" max="1512" width="12.140625" style="101" bestFit="1" customWidth="1"/>
    <col min="1513" max="1693" width="11.42578125" style="101"/>
    <col min="1694" max="1694" width="32.7109375" style="101" customWidth="1"/>
    <col min="1695" max="1708" width="8.7109375" style="101" customWidth="1"/>
    <col min="1709" max="1709" width="9.85546875" style="101" customWidth="1"/>
    <col min="1710" max="1755" width="11.42578125" style="101"/>
    <col min="1756" max="1756" width="42.140625" style="101" customWidth="1"/>
    <col min="1757" max="1760" width="13.7109375" style="101" customWidth="1"/>
    <col min="1761" max="1768" width="12.140625" style="101" bestFit="1" customWidth="1"/>
    <col min="1769" max="1949" width="11.42578125" style="101"/>
    <col min="1950" max="1950" width="32.7109375" style="101" customWidth="1"/>
    <col min="1951" max="1964" width="8.7109375" style="101" customWidth="1"/>
    <col min="1965" max="1965" width="9.85546875" style="101" customWidth="1"/>
    <col min="1966" max="2011" width="11.42578125" style="101"/>
    <col min="2012" max="2012" width="42.140625" style="101" customWidth="1"/>
    <col min="2013" max="2016" width="13.7109375" style="101" customWidth="1"/>
    <col min="2017" max="2024" width="12.140625" style="101" bestFit="1" customWidth="1"/>
    <col min="2025" max="2205" width="11.42578125" style="101"/>
    <col min="2206" max="2206" width="32.7109375" style="101" customWidth="1"/>
    <col min="2207" max="2220" width="8.7109375" style="101" customWidth="1"/>
    <col min="2221" max="2221" width="9.85546875" style="101" customWidth="1"/>
    <col min="2222" max="2267" width="11.42578125" style="101"/>
    <col min="2268" max="2268" width="42.140625" style="101" customWidth="1"/>
    <col min="2269" max="2272" width="13.7109375" style="101" customWidth="1"/>
    <col min="2273" max="2280" width="12.140625" style="101" bestFit="1" customWidth="1"/>
    <col min="2281" max="2461" width="11.42578125" style="101"/>
    <col min="2462" max="2462" width="32.7109375" style="101" customWidth="1"/>
    <col min="2463" max="2476" width="8.7109375" style="101" customWidth="1"/>
    <col min="2477" max="2477" width="9.85546875" style="101" customWidth="1"/>
    <col min="2478" max="2523" width="11.42578125" style="101"/>
    <col min="2524" max="2524" width="42.140625" style="101" customWidth="1"/>
    <col min="2525" max="2528" width="13.7109375" style="101" customWidth="1"/>
    <col min="2529" max="2536" width="12.140625" style="101" bestFit="1" customWidth="1"/>
    <col min="2537" max="2717" width="11.42578125" style="101"/>
    <col min="2718" max="2718" width="32.7109375" style="101" customWidth="1"/>
    <col min="2719" max="2732" width="8.7109375" style="101" customWidth="1"/>
    <col min="2733" max="2733" width="9.85546875" style="101" customWidth="1"/>
    <col min="2734" max="2779" width="11.42578125" style="101"/>
    <col min="2780" max="2780" width="42.140625" style="101" customWidth="1"/>
    <col min="2781" max="2784" width="13.7109375" style="101" customWidth="1"/>
    <col min="2785" max="2792" width="12.140625" style="101" bestFit="1" customWidth="1"/>
    <col min="2793" max="2973" width="11.42578125" style="101"/>
    <col min="2974" max="2974" width="32.7109375" style="101" customWidth="1"/>
    <col min="2975" max="2988" width="8.7109375" style="101" customWidth="1"/>
    <col min="2989" max="2989" width="9.85546875" style="101" customWidth="1"/>
    <col min="2990" max="3035" width="11.42578125" style="101"/>
    <col min="3036" max="3036" width="42.140625" style="101" customWidth="1"/>
    <col min="3037" max="3040" width="13.7109375" style="101" customWidth="1"/>
    <col min="3041" max="3048" width="12.140625" style="101" bestFit="1" customWidth="1"/>
    <col min="3049" max="3229" width="11.42578125" style="101"/>
    <col min="3230" max="3230" width="32.7109375" style="101" customWidth="1"/>
    <col min="3231" max="3244" width="8.7109375" style="101" customWidth="1"/>
    <col min="3245" max="3245" width="9.85546875" style="101" customWidth="1"/>
    <col min="3246" max="3291" width="11.42578125" style="101"/>
    <col min="3292" max="3292" width="42.140625" style="101" customWidth="1"/>
    <col min="3293" max="3296" width="13.7109375" style="101" customWidth="1"/>
    <col min="3297" max="3304" width="12.140625" style="101" bestFit="1" customWidth="1"/>
    <col min="3305" max="3485" width="11.42578125" style="101"/>
    <col min="3486" max="3486" width="32.7109375" style="101" customWidth="1"/>
    <col min="3487" max="3500" width="8.7109375" style="101" customWidth="1"/>
    <col min="3501" max="3501" width="9.85546875" style="101" customWidth="1"/>
    <col min="3502" max="3547" width="11.42578125" style="101"/>
    <col min="3548" max="3548" width="42.140625" style="101" customWidth="1"/>
    <col min="3549" max="3552" width="13.7109375" style="101" customWidth="1"/>
    <col min="3553" max="3560" width="12.140625" style="101" bestFit="1" customWidth="1"/>
    <col min="3561" max="3741" width="11.42578125" style="101"/>
    <col min="3742" max="3742" width="32.7109375" style="101" customWidth="1"/>
    <col min="3743" max="3756" width="8.7109375" style="101" customWidth="1"/>
    <col min="3757" max="3757" width="9.85546875" style="101" customWidth="1"/>
    <col min="3758" max="3803" width="11.42578125" style="101"/>
    <col min="3804" max="3804" width="42.140625" style="101" customWidth="1"/>
    <col min="3805" max="3808" width="13.7109375" style="101" customWidth="1"/>
    <col min="3809" max="3816" width="12.140625" style="101" bestFit="1" customWidth="1"/>
    <col min="3817" max="3997" width="11.42578125" style="101"/>
    <col min="3998" max="3998" width="32.7109375" style="101" customWidth="1"/>
    <col min="3999" max="4012" width="8.7109375" style="101" customWidth="1"/>
    <col min="4013" max="4013" width="9.85546875" style="101" customWidth="1"/>
    <col min="4014" max="4059" width="11.42578125" style="101"/>
    <col min="4060" max="4060" width="42.140625" style="101" customWidth="1"/>
    <col min="4061" max="4064" width="13.7109375" style="101" customWidth="1"/>
    <col min="4065" max="4072" width="12.140625" style="101" bestFit="1" customWidth="1"/>
    <col min="4073" max="4253" width="11.42578125" style="101"/>
    <col min="4254" max="4254" width="32.7109375" style="101" customWidth="1"/>
    <col min="4255" max="4268" width="8.7109375" style="101" customWidth="1"/>
    <col min="4269" max="4269" width="9.85546875" style="101" customWidth="1"/>
    <col min="4270" max="4315" width="11.42578125" style="101"/>
    <col min="4316" max="4316" width="42.140625" style="101" customWidth="1"/>
    <col min="4317" max="4320" width="13.7109375" style="101" customWidth="1"/>
    <col min="4321" max="4328" width="12.140625" style="101" bestFit="1" customWidth="1"/>
    <col min="4329" max="4509" width="11.42578125" style="101"/>
    <col min="4510" max="4510" width="32.7109375" style="101" customWidth="1"/>
    <col min="4511" max="4524" width="8.7109375" style="101" customWidth="1"/>
    <col min="4525" max="4525" width="9.85546875" style="101" customWidth="1"/>
    <col min="4526" max="4571" width="11.42578125" style="101"/>
    <col min="4572" max="4572" width="42.140625" style="101" customWidth="1"/>
    <col min="4573" max="4576" width="13.7109375" style="101" customWidth="1"/>
    <col min="4577" max="4584" width="12.140625" style="101" bestFit="1" customWidth="1"/>
    <col min="4585" max="4765" width="11.42578125" style="101"/>
    <col min="4766" max="4766" width="32.7109375" style="101" customWidth="1"/>
    <col min="4767" max="4780" width="8.7109375" style="101" customWidth="1"/>
    <col min="4781" max="4781" width="9.85546875" style="101" customWidth="1"/>
    <col min="4782" max="4827" width="11.42578125" style="101"/>
    <col min="4828" max="4828" width="42.140625" style="101" customWidth="1"/>
    <col min="4829" max="4832" width="13.7109375" style="101" customWidth="1"/>
    <col min="4833" max="4840" width="12.140625" style="101" bestFit="1" customWidth="1"/>
    <col min="4841" max="5021" width="11.42578125" style="101"/>
    <col min="5022" max="5022" width="32.7109375" style="101" customWidth="1"/>
    <col min="5023" max="5036" width="8.7109375" style="101" customWidth="1"/>
    <col min="5037" max="5037" width="9.85546875" style="101" customWidth="1"/>
    <col min="5038" max="5083" width="11.42578125" style="101"/>
    <col min="5084" max="5084" width="42.140625" style="101" customWidth="1"/>
    <col min="5085" max="5088" width="13.7109375" style="101" customWidth="1"/>
    <col min="5089" max="5096" width="12.140625" style="101" bestFit="1" customWidth="1"/>
    <col min="5097" max="5277" width="11.42578125" style="101"/>
    <col min="5278" max="5278" width="32.7109375" style="101" customWidth="1"/>
    <col min="5279" max="5292" width="8.7109375" style="101" customWidth="1"/>
    <col min="5293" max="5293" width="9.85546875" style="101" customWidth="1"/>
    <col min="5294" max="5339" width="11.42578125" style="101"/>
    <col min="5340" max="5340" width="42.140625" style="101" customWidth="1"/>
    <col min="5341" max="5344" width="13.7109375" style="101" customWidth="1"/>
    <col min="5345" max="5352" width="12.140625" style="101" bestFit="1" customWidth="1"/>
    <col min="5353" max="5533" width="11.42578125" style="101"/>
    <col min="5534" max="5534" width="32.7109375" style="101" customWidth="1"/>
    <col min="5535" max="5548" width="8.7109375" style="101" customWidth="1"/>
    <col min="5549" max="5549" width="9.85546875" style="101" customWidth="1"/>
    <col min="5550" max="5595" width="11.42578125" style="101"/>
    <col min="5596" max="5596" width="42.140625" style="101" customWidth="1"/>
    <col min="5597" max="5600" width="13.7109375" style="101" customWidth="1"/>
    <col min="5601" max="5608" width="12.140625" style="101" bestFit="1" customWidth="1"/>
    <col min="5609" max="5789" width="11.42578125" style="101"/>
    <col min="5790" max="5790" width="32.7109375" style="101" customWidth="1"/>
    <col min="5791" max="5804" width="8.7109375" style="101" customWidth="1"/>
    <col min="5805" max="5805" width="9.85546875" style="101" customWidth="1"/>
    <col min="5806" max="5851" width="11.42578125" style="101"/>
    <col min="5852" max="5852" width="42.140625" style="101" customWidth="1"/>
    <col min="5853" max="5856" width="13.7109375" style="101" customWidth="1"/>
    <col min="5857" max="5864" width="12.140625" style="101" bestFit="1" customWidth="1"/>
    <col min="5865" max="6045" width="11.42578125" style="101"/>
    <col min="6046" max="6046" width="32.7109375" style="101" customWidth="1"/>
    <col min="6047" max="6060" width="8.7109375" style="101" customWidth="1"/>
    <col min="6061" max="6061" width="9.85546875" style="101" customWidth="1"/>
    <col min="6062" max="6107" width="11.42578125" style="101"/>
    <col min="6108" max="6108" width="42.140625" style="101" customWidth="1"/>
    <col min="6109" max="6112" width="13.7109375" style="101" customWidth="1"/>
    <col min="6113" max="6120" width="12.140625" style="101" bestFit="1" customWidth="1"/>
    <col min="6121" max="6301" width="11.42578125" style="101"/>
    <col min="6302" max="6302" width="32.7109375" style="101" customWidth="1"/>
    <col min="6303" max="6316" width="8.7109375" style="101" customWidth="1"/>
    <col min="6317" max="6317" width="9.85546875" style="101" customWidth="1"/>
    <col min="6318" max="6363" width="11.42578125" style="101"/>
    <col min="6364" max="6364" width="42.140625" style="101" customWidth="1"/>
    <col min="6365" max="6368" width="13.7109375" style="101" customWidth="1"/>
    <col min="6369" max="6376" width="12.140625" style="101" bestFit="1" customWidth="1"/>
    <col min="6377" max="6557" width="11.42578125" style="101"/>
    <col min="6558" max="6558" width="32.7109375" style="101" customWidth="1"/>
    <col min="6559" max="6572" width="8.7109375" style="101" customWidth="1"/>
    <col min="6573" max="6573" width="9.85546875" style="101" customWidth="1"/>
    <col min="6574" max="6619" width="11.42578125" style="101"/>
    <col min="6620" max="6620" width="42.140625" style="101" customWidth="1"/>
    <col min="6621" max="6624" width="13.7109375" style="101" customWidth="1"/>
    <col min="6625" max="6632" width="12.140625" style="101" bestFit="1" customWidth="1"/>
    <col min="6633" max="6813" width="11.42578125" style="101"/>
    <col min="6814" max="6814" width="32.7109375" style="101" customWidth="1"/>
    <col min="6815" max="6828" width="8.7109375" style="101" customWidth="1"/>
    <col min="6829" max="6829" width="9.85546875" style="101" customWidth="1"/>
    <col min="6830" max="6875" width="11.42578125" style="101"/>
    <col min="6876" max="6876" width="42.140625" style="101" customWidth="1"/>
    <col min="6877" max="6880" width="13.7109375" style="101" customWidth="1"/>
    <col min="6881" max="6888" width="12.140625" style="101" bestFit="1" customWidth="1"/>
    <col min="6889" max="7069" width="11.42578125" style="101"/>
    <col min="7070" max="7070" width="32.7109375" style="101" customWidth="1"/>
    <col min="7071" max="7084" width="8.7109375" style="101" customWidth="1"/>
    <col min="7085" max="7085" width="9.85546875" style="101" customWidth="1"/>
    <col min="7086" max="7131" width="11.42578125" style="101"/>
    <col min="7132" max="7132" width="42.140625" style="101" customWidth="1"/>
    <col min="7133" max="7136" width="13.7109375" style="101" customWidth="1"/>
    <col min="7137" max="7144" width="12.140625" style="101" bestFit="1" customWidth="1"/>
    <col min="7145" max="7325" width="11.42578125" style="101"/>
    <col min="7326" max="7326" width="32.7109375" style="101" customWidth="1"/>
    <col min="7327" max="7340" width="8.7109375" style="101" customWidth="1"/>
    <col min="7341" max="7341" width="9.85546875" style="101" customWidth="1"/>
    <col min="7342" max="7387" width="11.42578125" style="101"/>
    <col min="7388" max="7388" width="42.140625" style="101" customWidth="1"/>
    <col min="7389" max="7392" width="13.7109375" style="101" customWidth="1"/>
    <col min="7393" max="7400" width="12.140625" style="101" bestFit="1" customWidth="1"/>
    <col min="7401" max="7581" width="11.42578125" style="101"/>
    <col min="7582" max="7582" width="32.7109375" style="101" customWidth="1"/>
    <col min="7583" max="7596" width="8.7109375" style="101" customWidth="1"/>
    <col min="7597" max="7597" width="9.85546875" style="101" customWidth="1"/>
    <col min="7598" max="7643" width="11.42578125" style="101"/>
    <col min="7644" max="7644" width="42.140625" style="101" customWidth="1"/>
    <col min="7645" max="7648" width="13.7109375" style="101" customWidth="1"/>
    <col min="7649" max="7656" width="12.140625" style="101" bestFit="1" customWidth="1"/>
    <col min="7657" max="7837" width="11.42578125" style="101"/>
    <col min="7838" max="7838" width="32.7109375" style="101" customWidth="1"/>
    <col min="7839" max="7852" width="8.7109375" style="101" customWidth="1"/>
    <col min="7853" max="7853" width="9.85546875" style="101" customWidth="1"/>
    <col min="7854" max="7899" width="11.42578125" style="101"/>
    <col min="7900" max="7900" width="42.140625" style="101" customWidth="1"/>
    <col min="7901" max="7904" width="13.7109375" style="101" customWidth="1"/>
    <col min="7905" max="7912" width="12.140625" style="101" bestFit="1" customWidth="1"/>
    <col min="7913" max="8093" width="11.42578125" style="101"/>
    <col min="8094" max="8094" width="32.7109375" style="101" customWidth="1"/>
    <col min="8095" max="8108" width="8.7109375" style="101" customWidth="1"/>
    <col min="8109" max="8109" width="9.85546875" style="101" customWidth="1"/>
    <col min="8110" max="8155" width="11.42578125" style="101"/>
    <col min="8156" max="8156" width="42.140625" style="101" customWidth="1"/>
    <col min="8157" max="8160" width="13.7109375" style="101" customWidth="1"/>
    <col min="8161" max="8168" width="12.140625" style="101" bestFit="1" customWidth="1"/>
    <col min="8169" max="8349" width="11.42578125" style="101"/>
    <col min="8350" max="8350" width="32.7109375" style="101" customWidth="1"/>
    <col min="8351" max="8364" width="8.7109375" style="101" customWidth="1"/>
    <col min="8365" max="8365" width="9.85546875" style="101" customWidth="1"/>
    <col min="8366" max="8411" width="11.42578125" style="101"/>
    <col min="8412" max="8412" width="42.140625" style="101" customWidth="1"/>
    <col min="8413" max="8416" width="13.7109375" style="101" customWidth="1"/>
    <col min="8417" max="8424" width="12.140625" style="101" bestFit="1" customWidth="1"/>
    <col min="8425" max="8605" width="11.42578125" style="101"/>
    <col min="8606" max="8606" width="32.7109375" style="101" customWidth="1"/>
    <col min="8607" max="8620" width="8.7109375" style="101" customWidth="1"/>
    <col min="8621" max="8621" width="9.85546875" style="101" customWidth="1"/>
    <col min="8622" max="8667" width="11.42578125" style="101"/>
    <col min="8668" max="8668" width="42.140625" style="101" customWidth="1"/>
    <col min="8669" max="8672" width="13.7109375" style="101" customWidth="1"/>
    <col min="8673" max="8680" width="12.140625" style="101" bestFit="1" customWidth="1"/>
    <col min="8681" max="8861" width="11.42578125" style="101"/>
    <col min="8862" max="8862" width="32.7109375" style="101" customWidth="1"/>
    <col min="8863" max="8876" width="8.7109375" style="101" customWidth="1"/>
    <col min="8877" max="8877" width="9.85546875" style="101" customWidth="1"/>
    <col min="8878" max="8923" width="11.42578125" style="101"/>
    <col min="8924" max="8924" width="42.140625" style="101" customWidth="1"/>
    <col min="8925" max="8928" width="13.7109375" style="101" customWidth="1"/>
    <col min="8929" max="8936" width="12.140625" style="101" bestFit="1" customWidth="1"/>
    <col min="8937" max="9117" width="11.42578125" style="101"/>
    <col min="9118" max="9118" width="32.7109375" style="101" customWidth="1"/>
    <col min="9119" max="9132" width="8.7109375" style="101" customWidth="1"/>
    <col min="9133" max="9133" width="9.85546875" style="101" customWidth="1"/>
    <col min="9134" max="9179" width="11.42578125" style="101"/>
    <col min="9180" max="9180" width="42.140625" style="101" customWidth="1"/>
    <col min="9181" max="9184" width="13.7109375" style="101" customWidth="1"/>
    <col min="9185" max="9192" width="12.140625" style="101" bestFit="1" customWidth="1"/>
    <col min="9193" max="9373" width="11.42578125" style="101"/>
    <col min="9374" max="9374" width="32.7109375" style="101" customWidth="1"/>
    <col min="9375" max="9388" width="8.7109375" style="101" customWidth="1"/>
    <col min="9389" max="9389" width="9.85546875" style="101" customWidth="1"/>
    <col min="9390" max="9435" width="11.42578125" style="101"/>
    <col min="9436" max="9436" width="42.140625" style="101" customWidth="1"/>
    <col min="9437" max="9440" width="13.7109375" style="101" customWidth="1"/>
    <col min="9441" max="9448" width="12.140625" style="101" bestFit="1" customWidth="1"/>
    <col min="9449" max="9629" width="11.42578125" style="101"/>
    <col min="9630" max="9630" width="32.7109375" style="101" customWidth="1"/>
    <col min="9631" max="9644" width="8.7109375" style="101" customWidth="1"/>
    <col min="9645" max="9645" width="9.85546875" style="101" customWidth="1"/>
    <col min="9646" max="9691" width="11.42578125" style="101"/>
    <col min="9692" max="9692" width="42.140625" style="101" customWidth="1"/>
    <col min="9693" max="9696" width="13.7109375" style="101" customWidth="1"/>
    <col min="9697" max="9704" width="12.140625" style="101" bestFit="1" customWidth="1"/>
    <col min="9705" max="9885" width="11.42578125" style="101"/>
    <col min="9886" max="9886" width="32.7109375" style="101" customWidth="1"/>
    <col min="9887" max="9900" width="8.7109375" style="101" customWidth="1"/>
    <col min="9901" max="9901" width="9.85546875" style="101" customWidth="1"/>
    <col min="9902" max="9947" width="11.42578125" style="101"/>
    <col min="9948" max="9948" width="42.140625" style="101" customWidth="1"/>
    <col min="9949" max="9952" width="13.7109375" style="101" customWidth="1"/>
    <col min="9953" max="9960" width="12.140625" style="101" bestFit="1" customWidth="1"/>
    <col min="9961" max="10141" width="11.42578125" style="101"/>
    <col min="10142" max="10142" width="32.7109375" style="101" customWidth="1"/>
    <col min="10143" max="10156" width="8.7109375" style="101" customWidth="1"/>
    <col min="10157" max="10157" width="9.85546875" style="101" customWidth="1"/>
    <col min="10158" max="10203" width="11.42578125" style="101"/>
    <col min="10204" max="10204" width="42.140625" style="101" customWidth="1"/>
    <col min="10205" max="10208" width="13.7109375" style="101" customWidth="1"/>
    <col min="10209" max="10216" width="12.140625" style="101" bestFit="1" customWidth="1"/>
    <col min="10217" max="10397" width="11.42578125" style="101"/>
    <col min="10398" max="10398" width="32.7109375" style="101" customWidth="1"/>
    <col min="10399" max="10412" width="8.7109375" style="101" customWidth="1"/>
    <col min="10413" max="10413" width="9.85546875" style="101" customWidth="1"/>
    <col min="10414" max="10459" width="11.42578125" style="101"/>
    <col min="10460" max="10460" width="42.140625" style="101" customWidth="1"/>
    <col min="10461" max="10464" width="13.7109375" style="101" customWidth="1"/>
    <col min="10465" max="10472" width="12.140625" style="101" bestFit="1" customWidth="1"/>
    <col min="10473" max="10653" width="11.42578125" style="101"/>
    <col min="10654" max="10654" width="32.7109375" style="101" customWidth="1"/>
    <col min="10655" max="10668" width="8.7109375" style="101" customWidth="1"/>
    <col min="10669" max="10669" width="9.85546875" style="101" customWidth="1"/>
    <col min="10670" max="10715" width="11.42578125" style="101"/>
    <col min="10716" max="10716" width="42.140625" style="101" customWidth="1"/>
    <col min="10717" max="10720" width="13.7109375" style="101" customWidth="1"/>
    <col min="10721" max="10728" width="12.140625" style="101" bestFit="1" customWidth="1"/>
    <col min="10729" max="10909" width="11.42578125" style="101"/>
    <col min="10910" max="10910" width="32.7109375" style="101" customWidth="1"/>
    <col min="10911" max="10924" width="8.7109375" style="101" customWidth="1"/>
    <col min="10925" max="10925" width="9.85546875" style="101" customWidth="1"/>
    <col min="10926" max="10971" width="11.42578125" style="101"/>
    <col min="10972" max="10972" width="42.140625" style="101" customWidth="1"/>
    <col min="10973" max="10976" width="13.7109375" style="101" customWidth="1"/>
    <col min="10977" max="10984" width="12.140625" style="101" bestFit="1" customWidth="1"/>
    <col min="10985" max="11165" width="11.42578125" style="101"/>
    <col min="11166" max="11166" width="32.7109375" style="101" customWidth="1"/>
    <col min="11167" max="11180" width="8.7109375" style="101" customWidth="1"/>
    <col min="11181" max="11181" width="9.85546875" style="101" customWidth="1"/>
    <col min="11182" max="11227" width="11.42578125" style="101"/>
    <col min="11228" max="11228" width="42.140625" style="101" customWidth="1"/>
    <col min="11229" max="11232" width="13.7109375" style="101" customWidth="1"/>
    <col min="11233" max="11240" width="12.140625" style="101" bestFit="1" customWidth="1"/>
    <col min="11241" max="11421" width="11.42578125" style="101"/>
    <col min="11422" max="11422" width="32.7109375" style="101" customWidth="1"/>
    <col min="11423" max="11436" width="8.7109375" style="101" customWidth="1"/>
    <col min="11437" max="11437" width="9.85546875" style="101" customWidth="1"/>
    <col min="11438" max="11483" width="11.42578125" style="101"/>
    <col min="11484" max="11484" width="42.140625" style="101" customWidth="1"/>
    <col min="11485" max="11488" width="13.7109375" style="101" customWidth="1"/>
    <col min="11489" max="11496" width="12.140625" style="101" bestFit="1" customWidth="1"/>
    <col min="11497" max="11677" width="11.42578125" style="101"/>
    <col min="11678" max="11678" width="32.7109375" style="101" customWidth="1"/>
    <col min="11679" max="11692" width="8.7109375" style="101" customWidth="1"/>
    <col min="11693" max="11693" width="9.85546875" style="101" customWidth="1"/>
    <col min="11694" max="11739" width="11.42578125" style="101"/>
    <col min="11740" max="11740" width="42.140625" style="101" customWidth="1"/>
    <col min="11741" max="11744" width="13.7109375" style="101" customWidth="1"/>
    <col min="11745" max="11752" width="12.140625" style="101" bestFit="1" customWidth="1"/>
    <col min="11753" max="11933" width="11.42578125" style="101"/>
    <col min="11934" max="11934" width="32.7109375" style="101" customWidth="1"/>
    <col min="11935" max="11948" width="8.7109375" style="101" customWidth="1"/>
    <col min="11949" max="11949" width="9.85546875" style="101" customWidth="1"/>
    <col min="11950" max="11995" width="11.42578125" style="101"/>
    <col min="11996" max="11996" width="42.140625" style="101" customWidth="1"/>
    <col min="11997" max="12000" width="13.7109375" style="101" customWidth="1"/>
    <col min="12001" max="12008" width="12.140625" style="101" bestFit="1" customWidth="1"/>
    <col min="12009" max="12189" width="11.42578125" style="101"/>
    <col min="12190" max="12190" width="32.7109375" style="101" customWidth="1"/>
    <col min="12191" max="12204" width="8.7109375" style="101" customWidth="1"/>
    <col min="12205" max="12205" width="9.85546875" style="101" customWidth="1"/>
    <col min="12206" max="12251" width="11.42578125" style="101"/>
    <col min="12252" max="12252" width="42.140625" style="101" customWidth="1"/>
    <col min="12253" max="12256" width="13.7109375" style="101" customWidth="1"/>
    <col min="12257" max="12264" width="12.140625" style="101" bestFit="1" customWidth="1"/>
    <col min="12265" max="12445" width="11.42578125" style="101"/>
    <col min="12446" max="12446" width="32.7109375" style="101" customWidth="1"/>
    <col min="12447" max="12460" width="8.7109375" style="101" customWidth="1"/>
    <col min="12461" max="12461" width="9.85546875" style="101" customWidth="1"/>
    <col min="12462" max="12507" width="11.42578125" style="101"/>
    <col min="12508" max="12508" width="42.140625" style="101" customWidth="1"/>
    <col min="12509" max="12512" width="13.7109375" style="101" customWidth="1"/>
    <col min="12513" max="12520" width="12.140625" style="101" bestFit="1" customWidth="1"/>
    <col min="12521" max="12701" width="11.42578125" style="101"/>
    <col min="12702" max="12702" width="32.7109375" style="101" customWidth="1"/>
    <col min="12703" max="12716" width="8.7109375" style="101" customWidth="1"/>
    <col min="12717" max="12717" width="9.85546875" style="101" customWidth="1"/>
    <col min="12718" max="12763" width="11.42578125" style="101"/>
    <col min="12764" max="12764" width="42.140625" style="101" customWidth="1"/>
    <col min="12765" max="12768" width="13.7109375" style="101" customWidth="1"/>
    <col min="12769" max="12776" width="12.140625" style="101" bestFit="1" customWidth="1"/>
    <col min="12777" max="12957" width="11.42578125" style="101"/>
    <col min="12958" max="12958" width="32.7109375" style="101" customWidth="1"/>
    <col min="12959" max="12972" width="8.7109375" style="101" customWidth="1"/>
    <col min="12973" max="12973" width="9.85546875" style="101" customWidth="1"/>
    <col min="12974" max="13019" width="11.42578125" style="101"/>
    <col min="13020" max="13020" width="42.140625" style="101" customWidth="1"/>
    <col min="13021" max="13024" width="13.7109375" style="101" customWidth="1"/>
    <col min="13025" max="13032" width="12.140625" style="101" bestFit="1" customWidth="1"/>
    <col min="13033" max="13213" width="11.42578125" style="101"/>
    <col min="13214" max="13214" width="32.7109375" style="101" customWidth="1"/>
    <col min="13215" max="13228" width="8.7109375" style="101" customWidth="1"/>
    <col min="13229" max="13229" width="9.85546875" style="101" customWidth="1"/>
    <col min="13230" max="13275" width="11.42578125" style="101"/>
    <col min="13276" max="13276" width="42.140625" style="101" customWidth="1"/>
    <col min="13277" max="13280" width="13.7109375" style="101" customWidth="1"/>
    <col min="13281" max="13288" width="12.140625" style="101" bestFit="1" customWidth="1"/>
    <col min="13289" max="13469" width="11.42578125" style="101"/>
    <col min="13470" max="13470" width="32.7109375" style="101" customWidth="1"/>
    <col min="13471" max="13484" width="8.7109375" style="101" customWidth="1"/>
    <col min="13485" max="13485" width="9.85546875" style="101" customWidth="1"/>
    <col min="13486" max="13531" width="11.42578125" style="101"/>
    <col min="13532" max="13532" width="42.140625" style="101" customWidth="1"/>
    <col min="13533" max="13536" width="13.7109375" style="101" customWidth="1"/>
    <col min="13537" max="13544" width="12.140625" style="101" bestFit="1" customWidth="1"/>
    <col min="13545" max="13725" width="11.42578125" style="101"/>
    <col min="13726" max="13726" width="32.7109375" style="101" customWidth="1"/>
    <col min="13727" max="13740" width="8.7109375" style="101" customWidth="1"/>
    <col min="13741" max="13741" width="9.85546875" style="101" customWidth="1"/>
    <col min="13742" max="13787" width="11.42578125" style="101"/>
    <col min="13788" max="13788" width="42.140625" style="101" customWidth="1"/>
    <col min="13789" max="13792" width="13.7109375" style="101" customWidth="1"/>
    <col min="13793" max="13800" width="12.140625" style="101" bestFit="1" customWidth="1"/>
    <col min="13801" max="13981" width="11.42578125" style="101"/>
    <col min="13982" max="13982" width="32.7109375" style="101" customWidth="1"/>
    <col min="13983" max="13996" width="8.7109375" style="101" customWidth="1"/>
    <col min="13997" max="13997" width="9.85546875" style="101" customWidth="1"/>
    <col min="13998" max="14043" width="11.42578125" style="101"/>
    <col min="14044" max="14044" width="42.140625" style="101" customWidth="1"/>
    <col min="14045" max="14048" width="13.7109375" style="101" customWidth="1"/>
    <col min="14049" max="14056" width="12.140625" style="101" bestFit="1" customWidth="1"/>
    <col min="14057" max="14237" width="11.42578125" style="101"/>
    <col min="14238" max="14238" width="32.7109375" style="101" customWidth="1"/>
    <col min="14239" max="14252" width="8.7109375" style="101" customWidth="1"/>
    <col min="14253" max="14253" width="9.85546875" style="101" customWidth="1"/>
    <col min="14254" max="14299" width="11.42578125" style="101"/>
    <col min="14300" max="14300" width="42.140625" style="101" customWidth="1"/>
    <col min="14301" max="14304" width="13.7109375" style="101" customWidth="1"/>
    <col min="14305" max="14312" width="12.140625" style="101" bestFit="1" customWidth="1"/>
    <col min="14313" max="14493" width="11.42578125" style="101"/>
    <col min="14494" max="14494" width="32.7109375" style="101" customWidth="1"/>
    <col min="14495" max="14508" width="8.7109375" style="101" customWidth="1"/>
    <col min="14509" max="14509" width="9.85546875" style="101" customWidth="1"/>
    <col min="14510" max="14555" width="11.42578125" style="101"/>
    <col min="14556" max="14556" width="42.140625" style="101" customWidth="1"/>
    <col min="14557" max="14560" width="13.7109375" style="101" customWidth="1"/>
    <col min="14561" max="14568" width="12.140625" style="101" bestFit="1" customWidth="1"/>
    <col min="14569" max="14749" width="11.42578125" style="101"/>
    <col min="14750" max="14750" width="32.7109375" style="101" customWidth="1"/>
    <col min="14751" max="14764" width="8.7109375" style="101" customWidth="1"/>
    <col min="14765" max="14765" width="9.85546875" style="101" customWidth="1"/>
    <col min="14766" max="14811" width="11.42578125" style="101"/>
    <col min="14812" max="14812" width="42.140625" style="101" customWidth="1"/>
    <col min="14813" max="14816" width="13.7109375" style="101" customWidth="1"/>
    <col min="14817" max="14824" width="12.140625" style="101" bestFit="1" customWidth="1"/>
    <col min="14825" max="15005" width="11.42578125" style="101"/>
    <col min="15006" max="15006" width="32.7109375" style="101" customWidth="1"/>
    <col min="15007" max="15020" width="8.7109375" style="101" customWidth="1"/>
    <col min="15021" max="15021" width="9.85546875" style="101" customWidth="1"/>
    <col min="15022" max="15067" width="11.42578125" style="101"/>
    <col min="15068" max="15068" width="42.140625" style="101" customWidth="1"/>
    <col min="15069" max="15072" width="13.7109375" style="101" customWidth="1"/>
    <col min="15073" max="15080" width="12.140625" style="101" bestFit="1" customWidth="1"/>
    <col min="15081" max="15261" width="11.42578125" style="101"/>
    <col min="15262" max="15262" width="32.7109375" style="101" customWidth="1"/>
    <col min="15263" max="15276" width="8.7109375" style="101" customWidth="1"/>
    <col min="15277" max="15277" width="9.85546875" style="101" customWidth="1"/>
    <col min="15278" max="15323" width="11.42578125" style="101"/>
    <col min="15324" max="15324" width="42.140625" style="101" customWidth="1"/>
    <col min="15325" max="15328" width="13.7109375" style="101" customWidth="1"/>
    <col min="15329" max="15336" width="12.140625" style="101" bestFit="1" customWidth="1"/>
    <col min="15337" max="15517" width="11.42578125" style="101"/>
    <col min="15518" max="15518" width="32.7109375" style="101" customWidth="1"/>
    <col min="15519" max="15532" width="8.7109375" style="101" customWidth="1"/>
    <col min="15533" max="15533" width="9.85546875" style="101" customWidth="1"/>
    <col min="15534" max="15579" width="11.42578125" style="101"/>
    <col min="15580" max="15580" width="42.140625" style="101" customWidth="1"/>
    <col min="15581" max="15584" width="13.7109375" style="101" customWidth="1"/>
    <col min="15585" max="15592" width="12.140625" style="101" bestFit="1" customWidth="1"/>
    <col min="15593" max="15773" width="11.42578125" style="101"/>
    <col min="15774" max="15774" width="32.7109375" style="101" customWidth="1"/>
    <col min="15775" max="15788" width="8.7109375" style="101" customWidth="1"/>
    <col min="15789" max="15789" width="9.85546875" style="101" customWidth="1"/>
    <col min="15790" max="15835" width="11.42578125" style="101"/>
    <col min="15836" max="15836" width="42.140625" style="101" customWidth="1"/>
    <col min="15837" max="15840" width="13.7109375" style="101" customWidth="1"/>
    <col min="15841" max="15848" width="12.140625" style="101" bestFit="1" customWidth="1"/>
    <col min="15849" max="16029" width="11.42578125" style="101"/>
    <col min="16030" max="16030" width="32.7109375" style="101" customWidth="1"/>
    <col min="16031" max="16044" width="8.7109375" style="101" customWidth="1"/>
    <col min="16045" max="16045" width="9.85546875" style="101" customWidth="1"/>
    <col min="16046" max="16091" width="11.42578125" style="101"/>
    <col min="16092" max="16092" width="42.140625" style="101" customWidth="1"/>
    <col min="16093" max="16096" width="13.7109375" style="101" customWidth="1"/>
    <col min="16097" max="16104" width="12.140625" style="101" bestFit="1" customWidth="1"/>
    <col min="16105" max="16285" width="11.42578125" style="101"/>
    <col min="16286" max="16286" width="32.7109375" style="101" customWidth="1"/>
    <col min="16287" max="16300" width="8.7109375" style="101" customWidth="1"/>
    <col min="16301" max="16301" width="9.85546875" style="101" customWidth="1"/>
    <col min="16302" max="16384" width="11.42578125" style="101"/>
  </cols>
  <sheetData>
    <row r="1" spans="1:16" ht="17.25" customHeight="1">
      <c r="A1" s="183" t="s">
        <v>184</v>
      </c>
      <c r="B1" s="169"/>
      <c r="C1" s="169"/>
      <c r="D1" s="169"/>
      <c r="E1" s="169"/>
      <c r="F1" s="169"/>
      <c r="G1" s="169"/>
      <c r="H1" s="169"/>
      <c r="J1" s="114"/>
    </row>
    <row r="2" spans="1:16" ht="17.25" customHeight="1">
      <c r="A2" s="184" t="s">
        <v>177</v>
      </c>
      <c r="B2" s="170"/>
      <c r="C2" s="170"/>
      <c r="D2" s="170"/>
      <c r="E2" s="170"/>
      <c r="F2" s="170"/>
      <c r="G2" s="170"/>
      <c r="H2" s="170"/>
      <c r="J2" s="193" t="s">
        <v>42</v>
      </c>
    </row>
    <row r="3" spans="1:16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J3" s="193" t="s">
        <v>100</v>
      </c>
    </row>
    <row r="4" spans="1:16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J4" s="193" t="s">
        <v>101</v>
      </c>
    </row>
    <row r="5" spans="1:16" ht="30" customHeight="1" thickTop="1">
      <c r="A5" s="217" t="s">
        <v>11</v>
      </c>
      <c r="B5" s="217" t="s">
        <v>150</v>
      </c>
      <c r="C5" s="217"/>
      <c r="D5" s="217"/>
      <c r="E5" s="217"/>
      <c r="F5" s="217"/>
      <c r="G5" s="217"/>
      <c r="H5" s="219"/>
      <c r="J5" s="193" t="s">
        <v>102</v>
      </c>
    </row>
    <row r="6" spans="1:16" s="2" customFormat="1" ht="24.75" customHeight="1" thickBot="1">
      <c r="A6" s="218"/>
      <c r="B6" s="119">
        <v>2018</v>
      </c>
      <c r="C6" s="119">
        <v>2019</v>
      </c>
      <c r="D6" s="119">
        <v>2020</v>
      </c>
      <c r="E6" s="119">
        <v>2021</v>
      </c>
      <c r="F6" s="119">
        <v>2022</v>
      </c>
      <c r="G6" s="119" t="s">
        <v>185</v>
      </c>
      <c r="H6" s="120" t="s">
        <v>107</v>
      </c>
      <c r="I6" s="94"/>
      <c r="J6" s="114"/>
    </row>
    <row r="7" spans="1:16" ht="32.25" customHeight="1" thickTop="1">
      <c r="A7" s="3" t="s">
        <v>76</v>
      </c>
      <c r="B7" s="53">
        <f>SUMIFS(DATOS!$F:$F,DATOS!$D:$D,"PIB_01",DATOS!$A:$A,'Cuadro 19-PIB-Corriente 2018-24'!B$6,DATOS!$B:$B,"B100101",DATOS!$G:$G,"0301",DATOS!$C:$C,"00")</f>
        <v>868.09565494895742</v>
      </c>
      <c r="C7" s="53">
        <f>SUMIFS(DATOS!$F:$F,DATOS!$D:$D,"PIB_01",DATOS!$A:$A,'Cuadro 19-PIB-Corriente 2018-24'!C$6,DATOS!$B:$B,"B100101",DATOS!$G:$G,"0301",DATOS!$C:$C,"00")</f>
        <v>833.7662457393958</v>
      </c>
      <c r="D7" s="53">
        <f>SUMIFS(DATOS!$F:$F,DATOS!$D:$D,"PIB_01",DATOS!$A:$A,'Cuadro 19-PIB-Corriente 2018-24'!D$6,DATOS!$B:$B,"B100101",DATOS!$G:$G,"0301",DATOS!$C:$C,"00")</f>
        <v>890.70816909266091</v>
      </c>
      <c r="E7" s="53">
        <f>SUMIFS(DATOS!$F:$F,DATOS!$D:$D,"PIB_01",DATOS!$A:$A,'Cuadro 19-PIB-Corriente 2018-24'!E$6,DATOS!$B:$B,"B100101",DATOS!$G:$G,"0301",DATOS!$C:$C,"00")</f>
        <v>1030.2299016683589</v>
      </c>
      <c r="F7" s="53">
        <f>SUMIFS(DATOS!$F:$F,DATOS!$D:$D,"PIB_01",DATOS!$A:$A,'Cuadro 19-PIB-Corriente 2018-24'!F$6,DATOS!$B:$B,"B100101",DATOS!$G:$G,"0301",DATOS!$C:$C,"00")</f>
        <v>1087.3920959966417</v>
      </c>
      <c r="G7" s="53">
        <f>SUMIFS(DATOS!$F:$F,DATOS!$D:$D,"PIB_01",DATOS!$A:$A,'Cuadro 19-PIB-Corriente 2018-24'!G$6,DATOS!$B:$B,"B100101",DATOS!$G:$G,"0301",DATOS!$C:$C,"00")</f>
        <v>1135.3500702416991</v>
      </c>
      <c r="H7" s="53">
        <f>SUMIFS(DATOS!$F:$F,DATOS!$D:$D,"PIB_01",DATOS!$A:$A,'Cuadro 19-PIB-Corriente 2018-24'!H$6,DATOS!$B:$B,"B100101",DATOS!$G:$G,"0301",DATOS!$C:$C,"00")</f>
        <v>1209.5323587536807</v>
      </c>
      <c r="I7" s="95"/>
      <c r="J7" s="95"/>
      <c r="K7" s="95"/>
      <c r="L7" s="95"/>
      <c r="M7" s="95"/>
      <c r="N7" s="95"/>
      <c r="O7" s="95"/>
    </row>
    <row r="8" spans="1:16" ht="32.25" customHeight="1">
      <c r="A8" s="4" t="s">
        <v>13</v>
      </c>
      <c r="B8" s="53">
        <f>SUMIFS(DATOS!$F:$F,DATOS!$D:$D,"PIB_02",DATOS!$A:$A,'Cuadro 19-PIB-Corriente 2018-24'!B$6,DATOS!$B:$B,"B100101",DATOS!$G:$G,"0301",DATOS!$C:$C,"00")</f>
        <v>2195.2548687183262</v>
      </c>
      <c r="C8" s="53">
        <f>SUMIFS(DATOS!$F:$F,DATOS!$D:$D,"PIB_02",DATOS!$A:$A,'Cuadro 19-PIB-Corriente 2018-24'!C$6,DATOS!$B:$B,"B100101",DATOS!$G:$G,"0301",DATOS!$C:$C,"00")</f>
        <v>2151.3649079772126</v>
      </c>
      <c r="D8" s="53">
        <f>SUMIFS(DATOS!$F:$F,DATOS!$D:$D,"PIB_02",DATOS!$A:$A,'Cuadro 19-PIB-Corriente 2018-24'!D$6,DATOS!$B:$B,"B100101",DATOS!$G:$G,"0301",DATOS!$C:$C,"00")</f>
        <v>1710.8020205106729</v>
      </c>
      <c r="E8" s="53">
        <f>SUMIFS(DATOS!$F:$F,DATOS!$D:$D,"PIB_02",DATOS!$A:$A,'Cuadro 19-PIB-Corriente 2018-24'!E$6,DATOS!$B:$B,"B100101",DATOS!$G:$G,"0301",DATOS!$C:$C,"00")</f>
        <v>2176.7693904710145</v>
      </c>
      <c r="F8" s="53">
        <f>SUMIFS(DATOS!$F:$F,DATOS!$D:$D,"PIB_02",DATOS!$A:$A,'Cuadro 19-PIB-Corriente 2018-24'!F$6,DATOS!$B:$B,"B100101",DATOS!$G:$G,"0301",DATOS!$C:$C,"00")</f>
        <v>2327.49033729541</v>
      </c>
      <c r="G8" s="53">
        <f>SUMIFS(DATOS!$F:$F,DATOS!$D:$D,"PIB_02",DATOS!$A:$A,'Cuadro 19-PIB-Corriente 2018-24'!G$6,DATOS!$B:$B,"B100101",DATOS!$G:$G,"0301",DATOS!$C:$C,"00")</f>
        <v>2408.2015239262068</v>
      </c>
      <c r="H8" s="53">
        <f>SUMIFS(DATOS!$F:$F,DATOS!$D:$D,"PIB_02",DATOS!$A:$A,'Cuadro 19-PIB-Corriente 2018-24'!H$6,DATOS!$B:$B,"B100101",DATOS!$G:$G,"0301",DATOS!$C:$C,"00")</f>
        <v>2584.7535370949545</v>
      </c>
      <c r="I8" s="95"/>
      <c r="J8" s="95"/>
      <c r="K8" s="95"/>
      <c r="L8" s="95"/>
      <c r="M8" s="95"/>
      <c r="N8" s="95"/>
      <c r="O8" s="95"/>
      <c r="P8" s="89"/>
    </row>
    <row r="9" spans="1:16" ht="32.25" customHeight="1">
      <c r="A9" s="4" t="s">
        <v>27</v>
      </c>
      <c r="B9" s="53">
        <f>SUMIFS(DATOS!$F:$F,DATOS!$D:$D,"PIB_03",DATOS!$A:$A,'Cuadro 19-PIB-Corriente 2018-24'!B$6,DATOS!$B:$B,"B100101",DATOS!$G:$G,"0301",DATOS!$C:$C,"00")</f>
        <v>10425.831231731017</v>
      </c>
      <c r="C9" s="53">
        <f>SUMIFS(DATOS!$F:$F,DATOS!$D:$D,"PIB_03",DATOS!$A:$A,'Cuadro 19-PIB-Corriente 2018-24'!C$6,DATOS!$B:$B,"B100101",DATOS!$G:$G,"0301",DATOS!$C:$C,"00")</f>
        <v>10536.877574826602</v>
      </c>
      <c r="D9" s="53">
        <f>SUMIFS(DATOS!$F:$F,DATOS!$D:$D,"PIB_03",DATOS!$A:$A,'Cuadro 19-PIB-Corriente 2018-24'!D$6,DATOS!$B:$B,"B100101",DATOS!$G:$G,"0301",DATOS!$C:$C,"00")</f>
        <v>9106.4206331434871</v>
      </c>
      <c r="E9" s="53">
        <f>SUMIFS(DATOS!$F:$F,DATOS!$D:$D,"PIB_03",DATOS!$A:$A,'Cuadro 19-PIB-Corriente 2018-24'!E$6,DATOS!$B:$B,"B100101",DATOS!$G:$G,"0301",DATOS!$C:$C,"00")</f>
        <v>10777.704068166548</v>
      </c>
      <c r="F9" s="53">
        <f>SUMIFS(DATOS!$F:$F,DATOS!$D:$D,"PIB_03",DATOS!$A:$A,'Cuadro 19-PIB-Corriente 2018-24'!F$6,DATOS!$B:$B,"B100101",DATOS!$G:$G,"0301",DATOS!$C:$C,"00")</f>
        <v>12874.343429807997</v>
      </c>
      <c r="G9" s="53">
        <f>SUMIFS(DATOS!$F:$F,DATOS!$D:$D,"PIB_03",DATOS!$A:$A,'Cuadro 19-PIB-Corriente 2018-24'!G$6,DATOS!$B:$B,"B100101",DATOS!$G:$G,"0301",DATOS!$C:$C,"00")</f>
        <v>12327.686758871167</v>
      </c>
      <c r="H9" s="53">
        <f>SUMIFS(DATOS!$F:$F,DATOS!$D:$D,"PIB_03",DATOS!$A:$A,'Cuadro 19-PIB-Corriente 2018-24'!H$6,DATOS!$B:$B,"B100101",DATOS!$G:$G,"0301",DATOS!$C:$C,"00")</f>
        <v>9072.2127243649393</v>
      </c>
      <c r="I9" s="95"/>
      <c r="J9" s="95"/>
      <c r="K9" s="95"/>
      <c r="L9" s="95"/>
      <c r="M9" s="95"/>
      <c r="N9" s="95"/>
      <c r="O9" s="95"/>
    </row>
    <row r="10" spans="1:16" ht="32.25" customHeight="1">
      <c r="A10" s="4" t="s">
        <v>77</v>
      </c>
      <c r="B10" s="53">
        <f>SUMIFS(DATOS!$F:$F,DATOS!$D:$D,"PIB_04",DATOS!$A:$A,'Cuadro 19-PIB-Corriente 2018-24'!B$6,DATOS!$B:$B,"B100101",DATOS!$G:$G,"0301",DATOS!$C:$C,"00")</f>
        <v>3877.9095960471323</v>
      </c>
      <c r="C10" s="53">
        <f>SUMIFS(DATOS!$F:$F,DATOS!$D:$D,"PIB_04",DATOS!$A:$A,'Cuadro 19-PIB-Corriente 2018-24'!C$6,DATOS!$B:$B,"B100101",DATOS!$G:$G,"0301",DATOS!$C:$C,"00")</f>
        <v>4085.3966852270846</v>
      </c>
      <c r="D10" s="53">
        <f>SUMIFS(DATOS!$F:$F,DATOS!$D:$D,"PIB_04",DATOS!$A:$A,'Cuadro 19-PIB-Corriente 2018-24'!D$6,DATOS!$B:$B,"B100101",DATOS!$G:$G,"0301",DATOS!$C:$C,"00")</f>
        <v>3561.3145715650817</v>
      </c>
      <c r="E10" s="53">
        <f>SUMIFS(DATOS!$F:$F,DATOS!$D:$D,"PIB_04",DATOS!$A:$A,'Cuadro 19-PIB-Corriente 2018-24'!E$6,DATOS!$B:$B,"B100101",DATOS!$G:$G,"0301",DATOS!$C:$C,"00")</f>
        <v>4373.1315491243231</v>
      </c>
      <c r="F10" s="53">
        <f>SUMIFS(DATOS!$F:$F,DATOS!$D:$D,"PIB_04",DATOS!$A:$A,'Cuadro 19-PIB-Corriente 2018-24'!F$6,DATOS!$B:$B,"B100101",DATOS!$G:$G,"0301",DATOS!$C:$C,"00")</f>
        <v>4670.092606514655</v>
      </c>
      <c r="G10" s="53">
        <f>SUMIFS(DATOS!$F:$F,DATOS!$D:$D,"PIB_04",DATOS!$A:$A,'Cuadro 19-PIB-Corriente 2018-24'!G$6,DATOS!$B:$B,"B100101",DATOS!$G:$G,"0301",DATOS!$C:$C,"00")</f>
        <v>5011.3878097308907</v>
      </c>
      <c r="H10" s="53">
        <f>SUMIFS(DATOS!$F:$F,DATOS!$D:$D,"PIB_04",DATOS!$A:$A,'Cuadro 19-PIB-Corriente 2018-24'!H$6,DATOS!$B:$B,"B100101",DATOS!$G:$G,"0301",DATOS!$C:$C,"00")</f>
        <v>5408.7391857384127</v>
      </c>
      <c r="I10" s="95"/>
      <c r="J10" s="95"/>
      <c r="K10" s="95"/>
      <c r="L10" s="95"/>
      <c r="M10" s="95"/>
      <c r="N10" s="95"/>
      <c r="O10" s="95"/>
    </row>
    <row r="11" spans="1:16" ht="32.25" customHeight="1">
      <c r="A11" s="4" t="s">
        <v>71</v>
      </c>
      <c r="B11" s="53">
        <f>SUMIFS(DATOS!$F:$F,DATOS!$D:$D,"PIB_05",DATOS!$A:$A,'Cuadro 19-PIB-Corriente 2018-24'!B$6,DATOS!$B:$B,"B100101",DATOS!$G:$G,"0301",DATOS!$C:$C,"00")</f>
        <v>239.44310689059691</v>
      </c>
      <c r="C11" s="53">
        <f>SUMIFS(DATOS!$F:$F,DATOS!$D:$D,"PIB_05",DATOS!$A:$A,'Cuadro 19-PIB-Corriente 2018-24'!C$6,DATOS!$B:$B,"B100101",DATOS!$G:$G,"0301",DATOS!$C:$C,"00")</f>
        <v>245.99277390548474</v>
      </c>
      <c r="D11" s="53">
        <f>SUMIFS(DATOS!$F:$F,DATOS!$D:$D,"PIB_05",DATOS!$A:$A,'Cuadro 19-PIB-Corriente 2018-24'!D$6,DATOS!$B:$B,"B100101",DATOS!$G:$G,"0301",DATOS!$C:$C,"00")</f>
        <v>242.45851568118104</v>
      </c>
      <c r="E11" s="53">
        <f>SUMIFS(DATOS!$F:$F,DATOS!$D:$D,"PIB_05",DATOS!$A:$A,'Cuadro 19-PIB-Corriente 2018-24'!E$6,DATOS!$B:$B,"B100101",DATOS!$G:$G,"0301",DATOS!$C:$C,"00")</f>
        <v>268.35719133444303</v>
      </c>
      <c r="F11" s="53">
        <f>SUMIFS(DATOS!$F:$F,DATOS!$D:$D,"PIB_05",DATOS!$A:$A,'Cuadro 19-PIB-Corriente 2018-24'!F$6,DATOS!$B:$B,"B100101",DATOS!$G:$G,"0301",DATOS!$C:$C,"00")</f>
        <v>278.25380389816127</v>
      </c>
      <c r="G11" s="53">
        <f>SUMIFS(DATOS!$F:$F,DATOS!$D:$D,"PIB_05",DATOS!$A:$A,'Cuadro 19-PIB-Corriente 2018-24'!G$6,DATOS!$B:$B,"B100101",DATOS!$G:$G,"0301",DATOS!$C:$C,"00")</f>
        <v>331.2737779493122</v>
      </c>
      <c r="H11" s="53">
        <f>SUMIFS(DATOS!$F:$F,DATOS!$D:$D,"PIB_05",DATOS!$A:$A,'Cuadro 19-PIB-Corriente 2018-24'!H$6,DATOS!$B:$B,"B100101",DATOS!$G:$G,"0301",DATOS!$C:$C,"00")</f>
        <v>345.24053907972961</v>
      </c>
      <c r="I11" s="95"/>
      <c r="J11" s="95"/>
      <c r="K11" s="95"/>
      <c r="L11" s="95"/>
      <c r="M11" s="95"/>
      <c r="N11" s="95"/>
      <c r="O11" s="95"/>
    </row>
    <row r="12" spans="1:16" ht="32.25" customHeight="1">
      <c r="A12" s="3" t="s">
        <v>17</v>
      </c>
      <c r="B12" s="53">
        <f>SUMIFS(DATOS!$F:$F,DATOS!$D:$D,"PIB_06",DATOS!$A:$A,'Cuadro 19-PIB-Corriente 2018-24'!B$6,DATOS!$B:$B,"B100101",DATOS!$G:$G,"0301",DATOS!$C:$C,"00")</f>
        <v>775.25321268901757</v>
      </c>
      <c r="C12" s="53">
        <f>SUMIFS(DATOS!$F:$F,DATOS!$D:$D,"PIB_06",DATOS!$A:$A,'Cuadro 19-PIB-Corriente 2018-24'!C$6,DATOS!$B:$B,"B100101",DATOS!$G:$G,"0301",DATOS!$C:$C,"00")</f>
        <v>817.7594191900979</v>
      </c>
      <c r="D12" s="53">
        <f>SUMIFS(DATOS!$F:$F,DATOS!$D:$D,"PIB_06",DATOS!$A:$A,'Cuadro 19-PIB-Corriente 2018-24'!D$6,DATOS!$B:$B,"B100101",DATOS!$G:$G,"0301",DATOS!$C:$C,"00")</f>
        <v>729.9216811051898</v>
      </c>
      <c r="E12" s="53">
        <f>SUMIFS(DATOS!$F:$F,DATOS!$D:$D,"PIB_06",DATOS!$A:$A,'Cuadro 19-PIB-Corriente 2018-24'!E$6,DATOS!$B:$B,"B100101",DATOS!$G:$G,"0301",DATOS!$C:$C,"00")</f>
        <v>849.04958482589052</v>
      </c>
      <c r="F12" s="53">
        <f>SUMIFS(DATOS!$F:$F,DATOS!$D:$D,"PIB_06",DATOS!$A:$A,'Cuadro 19-PIB-Corriente 2018-24'!F$6,DATOS!$B:$B,"B100101",DATOS!$G:$G,"0301",DATOS!$C:$C,"00")</f>
        <v>934.18270718584313</v>
      </c>
      <c r="G12" s="53">
        <f>SUMIFS(DATOS!$F:$F,DATOS!$D:$D,"PIB_06",DATOS!$A:$A,'Cuadro 19-PIB-Corriente 2018-24'!G$6,DATOS!$B:$B,"B100101",DATOS!$G:$G,"0301",DATOS!$C:$C,"00")</f>
        <v>958.51432871693487</v>
      </c>
      <c r="H12" s="53">
        <f>SUMIFS(DATOS!$F:$F,DATOS!$D:$D,"PIB_06",DATOS!$A:$A,'Cuadro 19-PIB-Corriente 2018-24'!H$6,DATOS!$B:$B,"B100101",DATOS!$G:$G,"0301",DATOS!$C:$C,"00")</f>
        <v>1098.6381901491613</v>
      </c>
      <c r="I12" s="95"/>
      <c r="J12" s="95"/>
      <c r="K12" s="95"/>
      <c r="L12" s="95"/>
      <c r="M12" s="95"/>
      <c r="N12" s="95"/>
      <c r="O12" s="95"/>
    </row>
    <row r="13" spans="1:16" ht="32.25" customHeight="1">
      <c r="A13" s="3" t="s">
        <v>18</v>
      </c>
      <c r="B13" s="53">
        <f>SUMIFS(DATOS!$F:$F,DATOS!$D:$D,"PIB_07",DATOS!$A:$A,'Cuadro 19-PIB-Corriente 2018-24'!B$6,DATOS!$B:$B,"B100101",DATOS!$G:$G,"0301",DATOS!$C:$C,"00")</f>
        <v>716.18464352428941</v>
      </c>
      <c r="C13" s="53">
        <f>SUMIFS(DATOS!$F:$F,DATOS!$D:$D,"PIB_07",DATOS!$A:$A,'Cuadro 19-PIB-Corriente 2018-24'!C$6,DATOS!$B:$B,"B100101",DATOS!$G:$G,"0301",DATOS!$C:$C,"00")</f>
        <v>900.1702769290531</v>
      </c>
      <c r="D13" s="53">
        <f>SUMIFS(DATOS!$F:$F,DATOS!$D:$D,"PIB_07",DATOS!$A:$A,'Cuadro 19-PIB-Corriente 2018-24'!D$6,DATOS!$B:$B,"B100101",DATOS!$G:$G,"0301",DATOS!$C:$C,"00")</f>
        <v>760.35435415147469</v>
      </c>
      <c r="E13" s="53">
        <f>SUMIFS(DATOS!$F:$F,DATOS!$D:$D,"PIB_07",DATOS!$A:$A,'Cuadro 19-PIB-Corriente 2018-24'!E$6,DATOS!$B:$B,"B100101",DATOS!$G:$G,"0301",DATOS!$C:$C,"00")</f>
        <v>873.63324930930071</v>
      </c>
      <c r="F13" s="53">
        <f>SUMIFS(DATOS!$F:$F,DATOS!$D:$D,"PIB_07",DATOS!$A:$A,'Cuadro 19-PIB-Corriente 2018-24'!F$6,DATOS!$B:$B,"B100101",DATOS!$G:$G,"0301",DATOS!$C:$C,"00")</f>
        <v>973.61906468645384</v>
      </c>
      <c r="G13" s="53">
        <f>SUMIFS(DATOS!$F:$F,DATOS!$D:$D,"PIB_07",DATOS!$A:$A,'Cuadro 19-PIB-Corriente 2018-24'!G$6,DATOS!$B:$B,"B100101",DATOS!$G:$G,"0301",DATOS!$C:$C,"00")</f>
        <v>933.06847157341008</v>
      </c>
      <c r="H13" s="53">
        <f>SUMIFS(DATOS!$F:$F,DATOS!$D:$D,"PIB_07",DATOS!$A:$A,'Cuadro 19-PIB-Corriente 2018-24'!H$6,DATOS!$B:$B,"B100101",DATOS!$G:$G,"0301",DATOS!$C:$C,"00")</f>
        <v>1080.8779461321139</v>
      </c>
      <c r="I13" s="95"/>
      <c r="J13" s="95"/>
      <c r="K13" s="95"/>
      <c r="L13" s="95"/>
      <c r="M13" s="95"/>
      <c r="N13" s="95"/>
      <c r="O13" s="95"/>
    </row>
    <row r="14" spans="1:16" ht="32.25" customHeight="1">
      <c r="A14" s="3" t="s">
        <v>19</v>
      </c>
      <c r="B14" s="53">
        <f>SUMIFS(DATOS!$F:$F,DATOS!$D:$D,"PIB_08",DATOS!$A:$A,'Cuadro 19-PIB-Corriente 2018-24'!B$6,DATOS!$B:$B,"B100101",DATOS!$G:$G,"0301",DATOS!$C:$C,"00")</f>
        <v>40292.867705261029</v>
      </c>
      <c r="C14" s="53">
        <f>SUMIFS(DATOS!$F:$F,DATOS!$D:$D,"PIB_08",DATOS!$A:$A,'Cuadro 19-PIB-Corriente 2018-24'!C$6,DATOS!$B:$B,"B100101",DATOS!$G:$G,"0301",DATOS!$C:$C,"00")</f>
        <v>41323.303231218415</v>
      </c>
      <c r="D14" s="53">
        <f>SUMIFS(DATOS!$F:$F,DATOS!$D:$D,"PIB_08",DATOS!$A:$A,'Cuadro 19-PIB-Corriente 2018-24'!D$6,DATOS!$B:$B,"B100101",DATOS!$G:$G,"0301",DATOS!$C:$C,"00")</f>
        <v>32302.417021735015</v>
      </c>
      <c r="E14" s="53">
        <f>SUMIFS(DATOS!$F:$F,DATOS!$D:$D,"PIB_08",DATOS!$A:$A,'Cuadro 19-PIB-Corriente 2018-24'!E$6,DATOS!$B:$B,"B100101",DATOS!$G:$G,"0301",DATOS!$C:$C,"00")</f>
        <v>38051.866659985797</v>
      </c>
      <c r="F14" s="53">
        <f>SUMIFS(DATOS!$F:$F,DATOS!$D:$D,"PIB_08",DATOS!$A:$A,'Cuadro 19-PIB-Corriente 2018-24'!F$6,DATOS!$B:$B,"B100101",DATOS!$G:$G,"0301",DATOS!$C:$C,"00")</f>
        <v>43333.48184716719</v>
      </c>
      <c r="G14" s="53">
        <f>SUMIFS(DATOS!$F:$F,DATOS!$D:$D,"PIB_08",DATOS!$A:$A,'Cuadro 19-PIB-Corriente 2018-24'!G$6,DATOS!$B:$B,"B100101",DATOS!$G:$G,"0301",DATOS!$C:$C,"00")</f>
        <v>49241.052359708119</v>
      </c>
      <c r="H14" s="53">
        <f>SUMIFS(DATOS!$F:$F,DATOS!$D:$D,"PIB_08",DATOS!$A:$A,'Cuadro 19-PIB-Corriente 2018-24'!H$6,DATOS!$B:$B,"B100101",DATOS!$G:$G,"0301",DATOS!$C:$C,"00")</f>
        <v>51919.465567997264</v>
      </c>
      <c r="I14" s="95"/>
      <c r="J14" s="95"/>
      <c r="K14" s="95"/>
      <c r="L14" s="95"/>
      <c r="M14" s="95"/>
      <c r="N14" s="95"/>
      <c r="O14" s="95"/>
    </row>
    <row r="15" spans="1:16" ht="32.25" customHeight="1">
      <c r="A15" s="3" t="s">
        <v>24</v>
      </c>
      <c r="B15" s="53">
        <f>SUMIFS(DATOS!$F:$F,DATOS!$D:$D,"PIB_13",DATOS!$A:$A,'Cuadro 19-PIB-Corriente 2018-24'!B$6,DATOS!$B:$B,"B100101",DATOS!$G:$G,"0301",DATOS!$C:$C,"00")</f>
        <v>6139.7846957090223</v>
      </c>
      <c r="C15" s="53">
        <f>SUMIFS(DATOS!$F:$F,DATOS!$D:$D,"PIB_13",DATOS!$A:$A,'Cuadro 19-PIB-Corriente 2018-24'!C$6,DATOS!$B:$B,"B100101",DATOS!$G:$G,"0301",DATOS!$C:$C,"00")</f>
        <v>7101.4975980902609</v>
      </c>
      <c r="D15" s="53">
        <f>SUMIFS(DATOS!$F:$F,DATOS!$D:$D,"PIB_13",DATOS!$A:$A,'Cuadro 19-PIB-Corriente 2018-24'!D$6,DATOS!$B:$B,"B100101",DATOS!$G:$G,"0301",DATOS!$C:$C,"00")</f>
        <v>6154.0741322917975</v>
      </c>
      <c r="E15" s="53">
        <f>SUMIFS(DATOS!$F:$F,DATOS!$D:$D,"PIB_13",DATOS!$A:$A,'Cuadro 19-PIB-Corriente 2018-24'!E$6,DATOS!$B:$B,"B100101",DATOS!$G:$G,"0301",DATOS!$C:$C,"00")</f>
        <v>7091.6883708508722</v>
      </c>
      <c r="F15" s="53">
        <f>SUMIFS(DATOS!$F:$F,DATOS!$D:$D,"PIB_13",DATOS!$A:$A,'Cuadro 19-PIB-Corriente 2018-24'!F$6,DATOS!$B:$B,"B100101",DATOS!$G:$G,"0301",DATOS!$C:$C,"00")</f>
        <v>7926.1422332002858</v>
      </c>
      <c r="G15" s="53">
        <f>SUMIFS(DATOS!$F:$F,DATOS!$D:$D,"PIB_13",DATOS!$A:$A,'Cuadro 19-PIB-Corriente 2018-24'!G$6,DATOS!$B:$B,"B100101",DATOS!$G:$G,"0301",DATOS!$C:$C,"00")</f>
        <v>9306.6335009879967</v>
      </c>
      <c r="H15" s="53">
        <f>SUMIFS(DATOS!$F:$F,DATOS!$D:$D,"PIB_13",DATOS!$A:$A,'Cuadro 19-PIB-Corriente 2018-24'!H$6,DATOS!$B:$B,"B100101",DATOS!$G:$G,"0301",DATOS!$C:$C,"00")</f>
        <v>11524.13658974524</v>
      </c>
      <c r="I15" s="95"/>
      <c r="J15" s="95"/>
      <c r="K15" s="95"/>
      <c r="L15" s="95"/>
      <c r="M15" s="95"/>
      <c r="N15" s="95"/>
      <c r="O15" s="95"/>
    </row>
    <row r="16" spans="1:16" ht="32.25" customHeight="1">
      <c r="A16" s="6" t="s">
        <v>78</v>
      </c>
      <c r="B16" s="53">
        <f>SUMIFS(DATOS!$F:$F,DATOS!$D:$D,"PIB_09",DATOS!$A:$A,'Cuadro 19-PIB-Corriente 2018-24'!B$6,DATOS!$B:$B,"B100101",DATOS!$G:$G,"0301",DATOS!$C:$C,"00")</f>
        <v>1785.8464657293653</v>
      </c>
      <c r="C16" s="53">
        <f>SUMIFS(DATOS!$F:$F,DATOS!$D:$D,"PIB_09",DATOS!$A:$A,'Cuadro 19-PIB-Corriente 2018-24'!C$6,DATOS!$B:$B,"B100101",DATOS!$G:$G,"0301",DATOS!$C:$C,"00")</f>
        <v>1782.8624794534305</v>
      </c>
      <c r="D16" s="53">
        <f>SUMIFS(DATOS!$F:$F,DATOS!$D:$D,"PIB_09",DATOS!$A:$A,'Cuadro 19-PIB-Corriente 2018-24'!D$6,DATOS!$B:$B,"B100101",DATOS!$G:$G,"0301",DATOS!$C:$C,"00")</f>
        <v>1601.3754222560635</v>
      </c>
      <c r="E16" s="53">
        <f>SUMIFS(DATOS!$F:$F,DATOS!$D:$D,"PIB_09",DATOS!$A:$A,'Cuadro 19-PIB-Corriente 2018-24'!E$6,DATOS!$B:$B,"B100101",DATOS!$G:$G,"0301",DATOS!$C:$C,"00")</f>
        <v>1903.9625405012746</v>
      </c>
      <c r="F16" s="53">
        <f>SUMIFS(DATOS!$F:$F,DATOS!$D:$D,"PIB_09",DATOS!$A:$A,'Cuadro 19-PIB-Corriente 2018-24'!F$6,DATOS!$B:$B,"B100101",DATOS!$G:$G,"0301",DATOS!$C:$C,"00")</f>
        <v>2074.3063451848229</v>
      </c>
      <c r="G16" s="53">
        <f>SUMIFS(DATOS!$F:$F,DATOS!$D:$D,"PIB_09",DATOS!$A:$A,'Cuadro 19-PIB-Corriente 2018-24'!G$6,DATOS!$B:$B,"B100101",DATOS!$G:$G,"0301",DATOS!$C:$C,"00")</f>
        <v>2158.9866426293975</v>
      </c>
      <c r="H16" s="53">
        <f>SUMIFS(DATOS!$F:$F,DATOS!$D:$D,"PIB_09",DATOS!$A:$A,'Cuadro 19-PIB-Corriente 2018-24'!H$6,DATOS!$B:$B,"B100101",DATOS!$G:$G,"0301",DATOS!$C:$C,"00")</f>
        <v>2280.3624926917159</v>
      </c>
      <c r="I16" s="95"/>
      <c r="J16" s="95"/>
      <c r="K16" s="95"/>
      <c r="L16" s="95"/>
      <c r="M16" s="95"/>
      <c r="N16" s="95"/>
      <c r="O16" s="95"/>
    </row>
    <row r="17" spans="1:15" ht="39.75" customHeight="1">
      <c r="A17" s="11" t="s">
        <v>80</v>
      </c>
      <c r="B17" s="54">
        <f>SUMIFS(DATOS!$F:$F,DATOS!$D:$D,"PIB",DATOS!$A:$A,'Cuadro 19-PIB-Corriente 2018-24'!B$6,DATOS!$B:$B,"B100101",DATOS!$G:$G,"0301",DATOS!$C:$C,"00")</f>
        <v>67316.471181248751</v>
      </c>
      <c r="C17" s="54">
        <f>SUMIFS(DATOS!$F:$F,DATOS!$D:$D,"PIB",DATOS!$A:$A,'Cuadro 19-PIB-Corriente 2018-24'!C$6,DATOS!$B:$B,"B100101",DATOS!$G:$G,"0301",DATOS!$C:$C,"00")</f>
        <v>69778.991192557034</v>
      </c>
      <c r="D17" s="54">
        <f>SUMIFS(DATOS!$F:$F,DATOS!$D:$D,"PIB",DATOS!$A:$A,'Cuadro 19-PIB-Corriente 2018-24'!D$6,DATOS!$B:$B,"B100101",DATOS!$G:$G,"0301",DATOS!$C:$C,"00")</f>
        <v>57059.846521532621</v>
      </c>
      <c r="E17" s="54">
        <f>SUMIFS(DATOS!$F:$F,DATOS!$D:$D,"PIB",DATOS!$A:$A,'Cuadro 19-PIB-Corriente 2018-24'!E$6,DATOS!$B:$B,"B100101",DATOS!$G:$G,"0301",DATOS!$C:$C,"00")</f>
        <v>67396.392506237826</v>
      </c>
      <c r="F17" s="54">
        <f>SUMIFS(DATOS!$F:$F,DATOS!$D:$D,"PIB",DATOS!$A:$A,'Cuadro 19-PIB-Corriente 2018-24'!F$6,DATOS!$B:$B,"B100101",DATOS!$G:$G,"0301",DATOS!$C:$C,"00")</f>
        <v>76479.304470937466</v>
      </c>
      <c r="G17" s="54">
        <f>SUMIFS(DATOS!$F:$F,DATOS!$D:$D,"PIB",DATOS!$A:$A,'Cuadro 19-PIB-Corriente 2018-24'!G$6,DATOS!$B:$B,"B100101",DATOS!$G:$G,"0301",DATOS!$C:$C,"00")</f>
        <v>83812.155244335139</v>
      </c>
      <c r="H17" s="54">
        <f>SUMIFS(DATOS!$F:$F,DATOS!$D:$D,"PIB",DATOS!$A:$A,'Cuadro 19-PIB-Corriente 2018-24'!H$6,DATOS!$B:$B,"B100101",DATOS!$G:$G,"0301",DATOS!$C:$C,"00")</f>
        <v>86523.959131747208</v>
      </c>
      <c r="I17" s="95"/>
      <c r="J17" s="95"/>
      <c r="K17" s="63"/>
    </row>
    <row r="18" spans="1:15" ht="20.25" customHeight="1">
      <c r="A18" s="42"/>
      <c r="B18" s="40"/>
      <c r="C18" s="40"/>
      <c r="D18" s="40"/>
      <c r="G18" s="63"/>
      <c r="H18" s="95"/>
      <c r="I18" s="95"/>
      <c r="J18" s="95"/>
      <c r="K18" s="63"/>
    </row>
    <row r="19" spans="1:15" ht="30" customHeight="1" thickBot="1">
      <c r="A19" s="189" t="s">
        <v>190</v>
      </c>
      <c r="B19" s="189"/>
      <c r="C19" s="189"/>
      <c r="D19" s="189"/>
      <c r="E19" s="189"/>
      <c r="F19" s="189"/>
      <c r="G19" s="189"/>
      <c r="H19" s="189"/>
    </row>
    <row r="20" spans="1:15" ht="30" customHeight="1" thickTop="1">
      <c r="A20" s="217" t="s">
        <v>11</v>
      </c>
      <c r="B20" s="217" t="s">
        <v>113</v>
      </c>
      <c r="C20" s="217"/>
      <c r="D20" s="217"/>
      <c r="E20" s="217"/>
      <c r="F20" s="217"/>
      <c r="G20" s="217"/>
      <c r="H20" s="219"/>
    </row>
    <row r="21" spans="1:15" s="2" customFormat="1" ht="24.75" customHeight="1" thickBot="1">
      <c r="A21" s="218"/>
      <c r="B21" s="119">
        <v>2018</v>
      </c>
      <c r="C21" s="119">
        <v>2019</v>
      </c>
      <c r="D21" s="119">
        <v>2020</v>
      </c>
      <c r="E21" s="119">
        <v>2021</v>
      </c>
      <c r="F21" s="119">
        <v>2022</v>
      </c>
      <c r="G21" s="119" t="s">
        <v>185</v>
      </c>
      <c r="H21" s="120" t="s">
        <v>107</v>
      </c>
      <c r="I21" s="94"/>
      <c r="J21" s="94"/>
    </row>
    <row r="22" spans="1:15" ht="32.25" customHeight="1" thickTop="1">
      <c r="A22" s="3" t="s">
        <v>76</v>
      </c>
      <c r="B22" s="53">
        <f>+IFERROR(B7/$B$17*100,0)</f>
        <v>1.289573918115257</v>
      </c>
      <c r="C22" s="53">
        <f>+IFERROR(C7/$C$17*100,0)</f>
        <v>1.1948671534081012</v>
      </c>
      <c r="D22" s="53">
        <f>+IFERROR(D7/$D$17*100,0)</f>
        <v>1.5610069486544011</v>
      </c>
      <c r="E22" s="53">
        <f>+IFERROR(E7/$E$17*100,0)</f>
        <v>1.5286128283097744</v>
      </c>
      <c r="F22" s="53">
        <f>+IFERROR(F7/$F$17*100,0)</f>
        <v>1.4218122190296021</v>
      </c>
      <c r="G22" s="53">
        <f>+IFERROR(G7/$G$17*100,0)</f>
        <v>1.3546365284747135</v>
      </c>
      <c r="H22" s="110">
        <f>+IFERROR(H7/$H$17*100,0)</f>
        <v>1.3979161042688364</v>
      </c>
      <c r="I22" s="95"/>
      <c r="J22" s="102"/>
      <c r="K22" s="63"/>
      <c r="L22" s="85"/>
      <c r="M22" s="85"/>
      <c r="N22" s="85"/>
      <c r="O22" s="52"/>
    </row>
    <row r="23" spans="1:15" ht="32.25" customHeight="1">
      <c r="A23" s="4" t="s">
        <v>13</v>
      </c>
      <c r="B23" s="53">
        <f t="shared" ref="B23:B31" si="0">+IFERROR(B8/$B$17*100,0)</f>
        <v>3.2610961777952236</v>
      </c>
      <c r="C23" s="53">
        <f t="shared" ref="C23:C31" si="1">+IFERROR(C8/$C$17*100,0)</f>
        <v>3.0831126549830197</v>
      </c>
      <c r="D23" s="53">
        <f t="shared" ref="D23:D31" si="2">+IFERROR(D8/$D$17*100,0)</f>
        <v>2.9982590644807803</v>
      </c>
      <c r="E23" s="53">
        <f t="shared" ref="E23:E31" si="3">+IFERROR(E8/$E$17*100,0)</f>
        <v>3.2298010465019256</v>
      </c>
      <c r="F23" s="53">
        <f t="shared" ref="F23:F31" si="4">+IFERROR(F8/$F$17*100,0)</f>
        <v>3.0432943309256539</v>
      </c>
      <c r="G23" s="53">
        <f t="shared" ref="G23:G31" si="5">+IFERROR(G8/$G$17*100,0)</f>
        <v>2.8733320565562921</v>
      </c>
      <c r="H23" s="110">
        <f t="shared" ref="H23:H31" si="6">+IFERROR(H8/$H$17*100,0)</f>
        <v>2.9873269358366215</v>
      </c>
      <c r="I23" s="95"/>
      <c r="J23" s="102"/>
      <c r="K23" s="63"/>
      <c r="L23" s="85"/>
      <c r="M23" s="85"/>
      <c r="N23" s="85"/>
      <c r="O23" s="52"/>
    </row>
    <row r="24" spans="1:15" ht="32.25" customHeight="1">
      <c r="A24" s="4" t="s">
        <v>27</v>
      </c>
      <c r="B24" s="53">
        <f t="shared" si="0"/>
        <v>15.487786345275881</v>
      </c>
      <c r="C24" s="53">
        <f t="shared" si="1"/>
        <v>15.100358137522797</v>
      </c>
      <c r="D24" s="53">
        <f t="shared" si="2"/>
        <v>15.959420132171237</v>
      </c>
      <c r="E24" s="53">
        <f t="shared" si="3"/>
        <v>15.991514779027712</v>
      </c>
      <c r="F24" s="53">
        <f t="shared" si="4"/>
        <v>16.833761131680159</v>
      </c>
      <c r="G24" s="53">
        <f t="shared" si="5"/>
        <v>14.708709879769371</v>
      </c>
      <c r="H24" s="110">
        <f t="shared" si="6"/>
        <v>10.485202960432009</v>
      </c>
      <c r="I24" s="95"/>
      <c r="J24" s="102"/>
      <c r="K24" s="63"/>
      <c r="L24" s="85"/>
      <c r="M24" s="85"/>
      <c r="N24" s="85"/>
      <c r="O24" s="52"/>
    </row>
    <row r="25" spans="1:15" ht="32.25" customHeight="1">
      <c r="A25" s="4" t="s">
        <v>77</v>
      </c>
      <c r="B25" s="53">
        <f t="shared" si="0"/>
        <v>5.7607143214710543</v>
      </c>
      <c r="C25" s="53">
        <f t="shared" si="1"/>
        <v>5.8547660483559021</v>
      </c>
      <c r="D25" s="53">
        <f t="shared" si="2"/>
        <v>6.2413672462668677</v>
      </c>
      <c r="E25" s="53">
        <f t="shared" si="3"/>
        <v>6.4886730379813295</v>
      </c>
      <c r="F25" s="53">
        <f t="shared" si="4"/>
        <v>6.1063481667636168</v>
      </c>
      <c r="G25" s="53">
        <f t="shared" si="5"/>
        <v>5.9793090812679113</v>
      </c>
      <c r="H25" s="110">
        <f t="shared" si="6"/>
        <v>6.2511462027560514</v>
      </c>
      <c r="I25" s="95"/>
      <c r="J25" s="102"/>
      <c r="K25" s="63"/>
      <c r="L25" s="85"/>
      <c r="M25" s="85"/>
      <c r="N25" s="85"/>
      <c r="O25" s="52"/>
    </row>
    <row r="26" spans="1:15" ht="32.25" customHeight="1">
      <c r="A26" s="4" t="s">
        <v>71</v>
      </c>
      <c r="B26" s="53">
        <f t="shared" si="0"/>
        <v>0.35569765124184743</v>
      </c>
      <c r="C26" s="53">
        <f t="shared" si="1"/>
        <v>0.35253128441863102</v>
      </c>
      <c r="D26" s="53">
        <f t="shared" si="2"/>
        <v>0.42491967725445018</v>
      </c>
      <c r="E26" s="53">
        <f t="shared" si="3"/>
        <v>0.39817738213451914</v>
      </c>
      <c r="F26" s="53">
        <f t="shared" si="4"/>
        <v>0.36382888916556394</v>
      </c>
      <c r="G26" s="53">
        <f t="shared" si="5"/>
        <v>0.3952574384748363</v>
      </c>
      <c r="H26" s="110">
        <f t="shared" si="6"/>
        <v>0.39901149062543834</v>
      </c>
      <c r="I26" s="95"/>
      <c r="J26" s="102"/>
      <c r="K26" s="63"/>
      <c r="L26" s="85"/>
      <c r="M26" s="85"/>
      <c r="N26" s="85"/>
      <c r="O26" s="52"/>
    </row>
    <row r="27" spans="1:15" ht="32.25" customHeight="1">
      <c r="A27" s="3" t="s">
        <v>17</v>
      </c>
      <c r="B27" s="53">
        <f t="shared" si="0"/>
        <v>1.1516545640095395</v>
      </c>
      <c r="C27" s="53">
        <f t="shared" si="1"/>
        <v>1.1719278327390381</v>
      </c>
      <c r="D27" s="53">
        <f t="shared" si="2"/>
        <v>1.2792212485705512</v>
      </c>
      <c r="E27" s="53">
        <f t="shared" si="3"/>
        <v>1.2597849131870187</v>
      </c>
      <c r="F27" s="53">
        <f t="shared" si="4"/>
        <v>1.2214843134992648</v>
      </c>
      <c r="G27" s="53">
        <f t="shared" si="5"/>
        <v>1.1436459615226526</v>
      </c>
      <c r="H27" s="110">
        <f t="shared" si="6"/>
        <v>1.2697502531943792</v>
      </c>
      <c r="I27" s="95"/>
      <c r="J27" s="102"/>
      <c r="K27" s="63"/>
      <c r="L27" s="85"/>
      <c r="M27" s="85"/>
      <c r="N27" s="85"/>
      <c r="O27" s="52"/>
    </row>
    <row r="28" spans="1:15" ht="32.25" customHeight="1">
      <c r="A28" s="3" t="s">
        <v>18</v>
      </c>
      <c r="B28" s="53">
        <f t="shared" si="0"/>
        <v>1.0639069917910153</v>
      </c>
      <c r="C28" s="53">
        <f t="shared" si="1"/>
        <v>1.2900305113970603</v>
      </c>
      <c r="D28" s="53">
        <f t="shared" si="2"/>
        <v>1.3325559049033553</v>
      </c>
      <c r="E28" s="53">
        <f t="shared" si="3"/>
        <v>1.2962611451769352</v>
      </c>
      <c r="F28" s="53">
        <f t="shared" si="4"/>
        <v>1.2730490574171396</v>
      </c>
      <c r="G28" s="53">
        <f t="shared" si="5"/>
        <v>1.1132853806864442</v>
      </c>
      <c r="H28" s="110">
        <f t="shared" si="6"/>
        <v>1.2492238646711675</v>
      </c>
      <c r="I28" s="95"/>
      <c r="J28" s="102"/>
      <c r="K28" s="63"/>
      <c r="L28" s="85"/>
      <c r="M28" s="85"/>
      <c r="N28" s="85"/>
      <c r="O28" s="52"/>
    </row>
    <row r="29" spans="1:15" ht="32.25" customHeight="1">
      <c r="A29" s="3" t="s">
        <v>28</v>
      </c>
      <c r="B29" s="53">
        <f t="shared" si="0"/>
        <v>59.855882220523696</v>
      </c>
      <c r="C29" s="53">
        <f t="shared" si="1"/>
        <v>59.22026461687534</v>
      </c>
      <c r="D29" s="53">
        <f t="shared" si="2"/>
        <v>56.611468468540451</v>
      </c>
      <c r="E29" s="53">
        <f t="shared" si="3"/>
        <v>56.459797394146769</v>
      </c>
      <c r="F29" s="53">
        <f t="shared" si="4"/>
        <v>56.660402636943616</v>
      </c>
      <c r="G29" s="53">
        <f t="shared" si="5"/>
        <v>58.751683710026434</v>
      </c>
      <c r="H29" s="110">
        <f t="shared" si="6"/>
        <v>60.00588286643378</v>
      </c>
      <c r="I29" s="95"/>
      <c r="J29" s="102"/>
      <c r="K29" s="63"/>
      <c r="L29" s="85"/>
      <c r="M29" s="85"/>
      <c r="N29" s="85"/>
      <c r="O29" s="52"/>
    </row>
    <row r="30" spans="1:15" ht="32.25" customHeight="1">
      <c r="A30" s="3" t="s">
        <v>20</v>
      </c>
      <c r="B30" s="53">
        <f t="shared" si="0"/>
        <v>9.1207762200988363</v>
      </c>
      <c r="C30" s="53">
        <f t="shared" si="1"/>
        <v>10.177128497735778</v>
      </c>
      <c r="D30" s="53">
        <f t="shared" si="2"/>
        <v>10.785297380653557</v>
      </c>
      <c r="E30" s="53">
        <f t="shared" si="3"/>
        <v>10.522356029952947</v>
      </c>
      <c r="F30" s="53">
        <f t="shared" si="4"/>
        <v>10.363773949084829</v>
      </c>
      <c r="G30" s="53">
        <f t="shared" si="5"/>
        <v>11.104157235733455</v>
      </c>
      <c r="H30" s="110">
        <f t="shared" si="6"/>
        <v>13.319012104147724</v>
      </c>
      <c r="I30" s="95"/>
      <c r="J30" s="102"/>
      <c r="K30" s="63"/>
      <c r="L30" s="85"/>
      <c r="M30" s="85"/>
      <c r="N30" s="85"/>
      <c r="O30" s="52"/>
    </row>
    <row r="31" spans="1:15" ht="32.25" customHeight="1">
      <c r="A31" s="6" t="s">
        <v>78</v>
      </c>
      <c r="B31" s="53">
        <f t="shared" si="0"/>
        <v>2.6529115896776525</v>
      </c>
      <c r="C31" s="53">
        <f t="shared" si="1"/>
        <v>2.5550132625643336</v>
      </c>
      <c r="D31" s="53">
        <f t="shared" si="2"/>
        <v>2.8064839285043539</v>
      </c>
      <c r="E31" s="53">
        <f t="shared" si="3"/>
        <v>2.8250214435810559</v>
      </c>
      <c r="F31" s="53">
        <f t="shared" si="4"/>
        <v>2.7122453054905464</v>
      </c>
      <c r="G31" s="53">
        <f t="shared" si="5"/>
        <v>2.5759827274878759</v>
      </c>
      <c r="H31" s="110">
        <f t="shared" si="6"/>
        <v>2.6355272176339994</v>
      </c>
      <c r="I31" s="95"/>
      <c r="J31" s="102"/>
      <c r="K31" s="63"/>
      <c r="L31" s="85"/>
      <c r="M31" s="85"/>
      <c r="N31" s="85"/>
      <c r="O31" s="52"/>
    </row>
    <row r="32" spans="1:15" ht="31.5" customHeight="1">
      <c r="A32" s="11" t="s">
        <v>22</v>
      </c>
      <c r="B32" s="54">
        <f>SUM(B22:B31)</f>
        <v>100.00000000000001</v>
      </c>
      <c r="C32" s="54">
        <f t="shared" ref="C32:H32" si="7">SUM(C22:C31)</f>
        <v>100</v>
      </c>
      <c r="D32" s="54">
        <f t="shared" si="7"/>
        <v>100</v>
      </c>
      <c r="E32" s="54">
        <f t="shared" si="7"/>
        <v>99.999999999999986</v>
      </c>
      <c r="F32" s="54">
        <f t="shared" si="7"/>
        <v>99.999999999999986</v>
      </c>
      <c r="G32" s="54">
        <f t="shared" si="7"/>
        <v>99.999999999999972</v>
      </c>
      <c r="H32" s="128">
        <f t="shared" si="7"/>
        <v>100</v>
      </c>
      <c r="I32" s="95"/>
      <c r="J32" s="95"/>
      <c r="K32" s="63"/>
    </row>
    <row r="33" spans="1:10">
      <c r="B33" s="98"/>
      <c r="C33" s="98"/>
      <c r="D33" s="98"/>
      <c r="E33" s="98"/>
      <c r="F33" s="98"/>
      <c r="G33" s="98"/>
    </row>
    <row r="34" spans="1:10" ht="30" customHeight="1" thickBot="1">
      <c r="A34" s="189" t="s">
        <v>189</v>
      </c>
      <c r="B34" s="189"/>
      <c r="C34" s="189"/>
      <c r="D34" s="189"/>
      <c r="E34" s="189"/>
      <c r="F34" s="189"/>
      <c r="G34" s="189"/>
      <c r="H34" s="189"/>
    </row>
    <row r="35" spans="1:10" ht="30" customHeight="1" thickTop="1">
      <c r="A35" s="211" t="s">
        <v>11</v>
      </c>
      <c r="B35" s="212"/>
      <c r="C35" s="125" t="s">
        <v>112</v>
      </c>
      <c r="D35" s="126"/>
      <c r="E35" s="126"/>
      <c r="F35" s="126"/>
      <c r="G35" s="126"/>
      <c r="H35" s="127"/>
    </row>
    <row r="36" spans="1:10" ht="24.75" customHeight="1" thickBot="1">
      <c r="A36" s="213"/>
      <c r="B36" s="214"/>
      <c r="C36" s="123" t="s">
        <v>108</v>
      </c>
      <c r="D36" s="123" t="s">
        <v>109</v>
      </c>
      <c r="E36" s="123" t="s">
        <v>110</v>
      </c>
      <c r="F36" s="123" t="s">
        <v>186</v>
      </c>
      <c r="G36" s="119" t="s">
        <v>187</v>
      </c>
      <c r="H36" s="120" t="s">
        <v>111</v>
      </c>
    </row>
    <row r="37" spans="1:10" ht="32.25" customHeight="1" thickTop="1">
      <c r="A37" s="215" t="s">
        <v>76</v>
      </c>
      <c r="B37" s="216"/>
      <c r="C37" s="14">
        <f>+IFERROR(C7/B7*100-100,"")</f>
        <v>-3.9545652617717764</v>
      </c>
      <c r="D37" s="14">
        <f t="shared" ref="D37:H37" si="8">+IFERROR(D7/C7*100-100,"")</f>
        <v>6.8294829209316674</v>
      </c>
      <c r="E37" s="14">
        <f t="shared" si="8"/>
        <v>15.664135282134524</v>
      </c>
      <c r="F37" s="14">
        <f t="shared" si="8"/>
        <v>5.5484891513742696</v>
      </c>
      <c r="G37" s="14">
        <f t="shared" si="8"/>
        <v>4.4103662718921726</v>
      </c>
      <c r="H37" s="111">
        <f t="shared" si="8"/>
        <v>6.533869196501584</v>
      </c>
      <c r="J37" s="49"/>
    </row>
    <row r="38" spans="1:10" ht="32.25" customHeight="1">
      <c r="A38" s="18" t="s">
        <v>13</v>
      </c>
      <c r="B38" s="4"/>
      <c r="C38" s="14">
        <f t="shared" ref="C38:C47" si="9">+IFERROR(C8/B8*100-100,"")</f>
        <v>-1.9993104840140177</v>
      </c>
      <c r="D38" s="14">
        <f t="shared" ref="D38:H38" si="10">+IFERROR(D8/C8*100-100,"")</f>
        <v>-20.478296630801324</v>
      </c>
      <c r="E38" s="14">
        <f t="shared" si="10"/>
        <v>27.236779263403648</v>
      </c>
      <c r="F38" s="14">
        <f t="shared" si="10"/>
        <v>6.9240658879249537</v>
      </c>
      <c r="G38" s="14">
        <f t="shared" si="10"/>
        <v>3.4677345524271743</v>
      </c>
      <c r="H38" s="111">
        <f t="shared" si="10"/>
        <v>7.3312806845544429</v>
      </c>
      <c r="J38" s="49"/>
    </row>
    <row r="39" spans="1:10" ht="32.25" customHeight="1">
      <c r="A39" s="18" t="s">
        <v>27</v>
      </c>
      <c r="B39" s="4"/>
      <c r="C39" s="14">
        <f t="shared" si="9"/>
        <v>1.0651078137311032</v>
      </c>
      <c r="D39" s="14">
        <f t="shared" ref="D39:H39" si="11">+IFERROR(D9/C9*100-100,"")</f>
        <v>-13.575719481647809</v>
      </c>
      <c r="E39" s="14">
        <f t="shared" si="11"/>
        <v>18.352802954657093</v>
      </c>
      <c r="F39" s="14">
        <f t="shared" si="11"/>
        <v>19.453487944934096</v>
      </c>
      <c r="G39" s="14">
        <f t="shared" si="11"/>
        <v>-4.2460935885177236</v>
      </c>
      <c r="H39" s="111">
        <f t="shared" si="11"/>
        <v>-26.407825719318708</v>
      </c>
      <c r="J39" s="49"/>
    </row>
    <row r="40" spans="1:10" ht="32.25" customHeight="1">
      <c r="A40" s="18" t="s">
        <v>77</v>
      </c>
      <c r="B40" s="4"/>
      <c r="C40" s="14">
        <f t="shared" si="9"/>
        <v>5.3504880410685729</v>
      </c>
      <c r="D40" s="14">
        <f t="shared" ref="D40:H40" si="12">+IFERROR(D10/C10*100-100,"")</f>
        <v>-12.828181790940874</v>
      </c>
      <c r="E40" s="14">
        <f t="shared" si="12"/>
        <v>22.795430205494995</v>
      </c>
      <c r="F40" s="14">
        <f t="shared" si="12"/>
        <v>6.7905813958373926</v>
      </c>
      <c r="G40" s="14">
        <f t="shared" si="12"/>
        <v>7.3081035425322796</v>
      </c>
      <c r="H40" s="111">
        <f t="shared" si="12"/>
        <v>7.9289688025333476</v>
      </c>
      <c r="J40" s="49"/>
    </row>
    <row r="41" spans="1:10" ht="32.25" customHeight="1">
      <c r="A41" s="18" t="s">
        <v>71</v>
      </c>
      <c r="B41" s="4"/>
      <c r="C41" s="14">
        <f t="shared" si="9"/>
        <v>2.735375054200432</v>
      </c>
      <c r="D41" s="14">
        <f t="shared" ref="D41:H41" si="13">+IFERROR(D11/C11*100-100,"")</f>
        <v>-1.4367325381930129</v>
      </c>
      <c r="E41" s="14">
        <f t="shared" si="13"/>
        <v>10.681693559205499</v>
      </c>
      <c r="F41" s="14">
        <f t="shared" si="13"/>
        <v>3.6878507017106443</v>
      </c>
      <c r="G41" s="14">
        <f t="shared" si="13"/>
        <v>19.054537012027993</v>
      </c>
      <c r="H41" s="111">
        <f t="shared" si="13"/>
        <v>4.2160780780404821</v>
      </c>
      <c r="J41" s="49"/>
    </row>
    <row r="42" spans="1:10" ht="32.25" customHeight="1">
      <c r="A42" s="83" t="s">
        <v>17</v>
      </c>
      <c r="B42" s="3"/>
      <c r="C42" s="14">
        <f t="shared" si="9"/>
        <v>5.4828804067311978</v>
      </c>
      <c r="D42" s="14">
        <f t="shared" ref="D42:H42" si="14">+IFERROR(D12/C12*100-100,"")</f>
        <v>-10.74126888955945</v>
      </c>
      <c r="E42" s="14">
        <f t="shared" si="14"/>
        <v>16.320641899597589</v>
      </c>
      <c r="F42" s="14">
        <f t="shared" si="14"/>
        <v>10.026872856596512</v>
      </c>
      <c r="G42" s="14">
        <f t="shared" si="14"/>
        <v>2.6045891605496365</v>
      </c>
      <c r="H42" s="111">
        <f t="shared" si="14"/>
        <v>14.618859336176641</v>
      </c>
      <c r="J42" s="49"/>
    </row>
    <row r="43" spans="1:10" ht="32.25" customHeight="1">
      <c r="A43" s="83" t="s">
        <v>18</v>
      </c>
      <c r="B43" s="3"/>
      <c r="C43" s="14">
        <f t="shared" si="9"/>
        <v>25.689692604882538</v>
      </c>
      <c r="D43" s="14">
        <f t="shared" ref="D43:H43" si="15">+IFERROR(D13/C13*100-100,"")</f>
        <v>-15.532163898430738</v>
      </c>
      <c r="E43" s="14">
        <f t="shared" si="15"/>
        <v>14.898171430114431</v>
      </c>
      <c r="F43" s="14">
        <f t="shared" si="15"/>
        <v>11.444827157872311</v>
      </c>
      <c r="G43" s="14">
        <f t="shared" si="15"/>
        <v>-4.1649341702345168</v>
      </c>
      <c r="H43" s="111">
        <f t="shared" si="15"/>
        <v>15.841224847031469</v>
      </c>
      <c r="J43" s="49"/>
    </row>
    <row r="44" spans="1:10" ht="32.25" customHeight="1">
      <c r="A44" s="83" t="s">
        <v>28</v>
      </c>
      <c r="B44" s="3"/>
      <c r="C44" s="14">
        <f t="shared" si="9"/>
        <v>2.5573645775101852</v>
      </c>
      <c r="D44" s="14">
        <f t="shared" ref="D44:H44" si="16">+IFERROR(D14/C14*100-100,"")</f>
        <v>-21.830022055614407</v>
      </c>
      <c r="E44" s="14">
        <f t="shared" si="16"/>
        <v>17.798821785943161</v>
      </c>
      <c r="F44" s="14">
        <f t="shared" si="16"/>
        <v>13.880042296940402</v>
      </c>
      <c r="G44" s="14">
        <f t="shared" si="16"/>
        <v>13.632808306003042</v>
      </c>
      <c r="H44" s="111">
        <f t="shared" si="16"/>
        <v>5.4393906708638582</v>
      </c>
      <c r="J44" s="49"/>
    </row>
    <row r="45" spans="1:10" ht="32.25" customHeight="1">
      <c r="A45" s="83" t="s">
        <v>20</v>
      </c>
      <c r="B45" s="3"/>
      <c r="C45" s="14">
        <f t="shared" si="9"/>
        <v>15.663625844296476</v>
      </c>
      <c r="D45" s="14">
        <f t="shared" ref="D45:H45" si="17">+IFERROR(D15/C15*100-100,"")</f>
        <v>-13.341178430493954</v>
      </c>
      <c r="E45" s="14">
        <f t="shared" si="17"/>
        <v>15.235666948488699</v>
      </c>
      <c r="F45" s="14">
        <f t="shared" si="17"/>
        <v>11.766645948224237</v>
      </c>
      <c r="G45" s="14">
        <f t="shared" si="17"/>
        <v>17.416937864239145</v>
      </c>
      <c r="H45" s="111">
        <f t="shared" si="17"/>
        <v>23.827123830779755</v>
      </c>
      <c r="J45" s="49"/>
    </row>
    <row r="46" spans="1:10" ht="32.25" customHeight="1">
      <c r="A46" s="42" t="s">
        <v>78</v>
      </c>
      <c r="B46" s="76"/>
      <c r="C46" s="14">
        <f t="shared" si="9"/>
        <v>-0.16709086325155909</v>
      </c>
      <c r="D46" s="14">
        <f t="shared" ref="D46:H46" si="18">+IFERROR(D16/C16*100-100,"")</f>
        <v>-10.179532032835496</v>
      </c>
      <c r="E46" s="14">
        <f t="shared" si="18"/>
        <v>18.895451624886178</v>
      </c>
      <c r="F46" s="14">
        <f t="shared" si="18"/>
        <v>8.9468044176279022</v>
      </c>
      <c r="G46" s="14">
        <f t="shared" si="18"/>
        <v>4.0823428825326005</v>
      </c>
      <c r="H46" s="111">
        <f t="shared" si="18"/>
        <v>5.621889810049808</v>
      </c>
      <c r="J46" s="49"/>
    </row>
    <row r="47" spans="1:10" ht="35.25" customHeight="1">
      <c r="A47" s="84" t="s">
        <v>26</v>
      </c>
      <c r="B47" s="84"/>
      <c r="C47" s="35">
        <f t="shared" si="9"/>
        <v>3.6581240342768098</v>
      </c>
      <c r="D47" s="35">
        <f t="shared" ref="D47:H47" si="19">+IFERROR(D17/C17*100-100,"")</f>
        <v>-18.227756597864229</v>
      </c>
      <c r="E47" s="35">
        <f t="shared" si="19"/>
        <v>18.115271271899601</v>
      </c>
      <c r="F47" s="35">
        <f t="shared" si="19"/>
        <v>13.476851841675327</v>
      </c>
      <c r="G47" s="35">
        <f t="shared" si="19"/>
        <v>9.5880196925485848</v>
      </c>
      <c r="H47" s="141">
        <f t="shared" si="19"/>
        <v>3.2355735030395323</v>
      </c>
    </row>
    <row r="48" spans="1:10">
      <c r="C48" s="40"/>
    </row>
    <row r="49" spans="1:10" ht="30.75" customHeight="1" thickBot="1">
      <c r="A49" s="190" t="s">
        <v>188</v>
      </c>
      <c r="B49" s="190"/>
      <c r="C49" s="190"/>
      <c r="D49" s="190"/>
      <c r="E49" s="190"/>
      <c r="F49" s="190"/>
      <c r="G49" s="190"/>
      <c r="H49" s="190"/>
    </row>
    <row r="50" spans="1:10" ht="30.75" customHeight="1" thickTop="1">
      <c r="A50" s="217" t="s">
        <v>11</v>
      </c>
      <c r="B50" s="217" t="s">
        <v>123</v>
      </c>
      <c r="C50" s="217"/>
      <c r="D50" s="217"/>
      <c r="E50" s="217"/>
      <c r="F50" s="217"/>
      <c r="G50" s="217"/>
      <c r="H50" s="219"/>
    </row>
    <row r="51" spans="1:10" ht="24.75" customHeight="1" thickBot="1">
      <c r="A51" s="218"/>
      <c r="B51" s="119">
        <v>2018</v>
      </c>
      <c r="C51" s="119">
        <v>2019</v>
      </c>
      <c r="D51" s="119">
        <v>2020</v>
      </c>
      <c r="E51" s="119">
        <v>2021</v>
      </c>
      <c r="F51" s="119">
        <v>2022</v>
      </c>
      <c r="G51" s="119" t="s">
        <v>185</v>
      </c>
      <c r="H51" s="120" t="s">
        <v>107</v>
      </c>
    </row>
    <row r="52" spans="1:10" ht="32.25" customHeight="1" thickTop="1">
      <c r="A52" s="3" t="s">
        <v>76</v>
      </c>
      <c r="B52" s="53">
        <f>SUMIFS(DATOS!$F:$F,DATOS!$D:$D,"PIBP_01",DATOS!$A:$A,'Cuadro 19-PIB-Corriente 2018-24'!B$51,DATOS!$B:$B,"B100101",DATOS!$G:$G,"0301",DATOS!$C:$C,"00")</f>
        <v>5096.85095672239</v>
      </c>
      <c r="C52" s="53">
        <f>SUMIFS(DATOS!$F:$F,DATOS!$D:$D,"PIBP_01",DATOS!$A:$A,'Cuadro 19-PIB-Corriente 2018-24'!C$51,DATOS!$B:$B,"B100101",DATOS!$G:$G,"0301",DATOS!$C:$C,"00")</f>
        <v>4761.0865957788947</v>
      </c>
      <c r="D52" s="53">
        <f>SUMIFS(DATOS!$F:$F,DATOS!$D:$D,"PIBP_01",DATOS!$A:$A,'Cuadro 19-PIB-Corriente 2018-24'!D$51,DATOS!$B:$B,"B100101",DATOS!$G:$G,"0301",DATOS!$C:$C,"00")</f>
        <v>4948.6536423838043</v>
      </c>
      <c r="E52" s="53">
        <f>SUMIFS(DATOS!$F:$F,DATOS!$D:$D,"PIBP_01",DATOS!$A:$A,'Cuadro 19-PIB-Corriente 2018-24'!E$51,DATOS!$B:$B,"B100101",DATOS!$G:$G,"0301",DATOS!$C:$C,"00")</f>
        <v>5570.6470872469245</v>
      </c>
      <c r="F52" s="53">
        <f>SUMIFS(DATOS!$F:$F,DATOS!$D:$D,"PIBP_01",DATOS!$A:$A,'Cuadro 19-PIB-Corriente 2018-24'!F$51,DATOS!$B:$B,"B100101",DATOS!$G:$G,"0301",DATOS!$C:$C,"00")</f>
        <v>5724.98444753889</v>
      </c>
      <c r="G52" s="53">
        <f>SUMIFS(DATOS!$F:$F,DATOS!$D:$D,"PIBP_01",DATOS!$A:$A,'Cuadro 19-PIB-Corriente 2018-24'!G$51,DATOS!$B:$B,"B100101",DATOS!$G:$G,"0301",DATOS!$C:$C,"00")</f>
        <v>5823.1740630232134</v>
      </c>
      <c r="H52" s="53">
        <f>SUMIFS(DATOS!$F:$F,DATOS!$D:$D,"PIBP_01",DATOS!$A:$A,'Cuadro 19-PIB-Corriente 2018-24'!H$51,DATOS!$B:$B,"B100101",DATOS!$G:$G,"0301",DATOS!$C:$C,"00")</f>
        <v>6046.4222772015773</v>
      </c>
    </row>
    <row r="53" spans="1:10" ht="32.25" customHeight="1">
      <c r="A53" s="4" t="s">
        <v>13</v>
      </c>
      <c r="B53" s="53">
        <f>SUMIFS(DATOS!$F:$F,DATOS!$D:$D,"PIBP_02",DATOS!$A:$A,'Cuadro 19-PIB-Corriente 2018-24'!B$51,DATOS!$B:$B,"B100101",DATOS!$G:$G,"0301",DATOS!$C:$C,"00")</f>
        <v>8338.9231264038772</v>
      </c>
      <c r="C53" s="53">
        <f>SUMIFS(DATOS!$F:$F,DATOS!$D:$D,"PIBP_02",DATOS!$A:$A,'Cuadro 19-PIB-Corriente 2018-24'!C$51,DATOS!$B:$B,"B100101",DATOS!$G:$G,"0301",DATOS!$C:$C,"00")</f>
        <v>8113.7960466651293</v>
      </c>
      <c r="D53" s="53">
        <f>SUMIFS(DATOS!$F:$F,DATOS!$D:$D,"PIBP_02",DATOS!$A:$A,'Cuadro 19-PIB-Corriente 2018-24'!D$51,DATOS!$B:$B,"B100101",DATOS!$G:$G,"0301",DATOS!$C:$C,"00")</f>
        <v>6408.2422322841721</v>
      </c>
      <c r="E53" s="53">
        <f>SUMIFS(DATOS!$F:$F,DATOS!$D:$D,"PIBP_02",DATOS!$A:$A,'Cuadro 19-PIB-Corriente 2018-24'!E$51,DATOS!$B:$B,"B100101",DATOS!$G:$G,"0301",DATOS!$C:$C,"00")</f>
        <v>8100.2701261908487</v>
      </c>
      <c r="F53" s="53">
        <f>SUMIFS(DATOS!$F:$F,DATOS!$D:$D,"PIBP_02",DATOS!$A:$A,'Cuadro 19-PIB-Corriente 2018-24'!F$51,DATOS!$B:$B,"B100101",DATOS!$G:$G,"0301",DATOS!$C:$C,"00")</f>
        <v>8608.2193109527707</v>
      </c>
      <c r="G53" s="53">
        <f>SUMIFS(DATOS!$F:$F,DATOS!$D:$D,"PIBP_02",DATOS!$A:$A,'Cuadro 19-PIB-Corriente 2018-24'!G$51,DATOS!$B:$B,"B100101",DATOS!$G:$G,"0301",DATOS!$C:$C,"00")</f>
        <v>8855.0493970620719</v>
      </c>
      <c r="H53" s="53">
        <f>SUMIFS(DATOS!$F:$F,DATOS!$D:$D,"PIBP_02",DATOS!$A:$A,'Cuadro 19-PIB-Corriente 2018-24'!H$51,DATOS!$B:$B,"B100101",DATOS!$G:$G,"0301",DATOS!$C:$C,"00")</f>
        <v>9407.2110768005678</v>
      </c>
    </row>
    <row r="54" spans="1:10" ht="32.25" customHeight="1">
      <c r="A54" s="4" t="s">
        <v>27</v>
      </c>
      <c r="B54" s="53">
        <f>SUMIFS(DATOS!$F:$F,DATOS!$D:$D,"PIBP_03",DATOS!$A:$A,'Cuadro 19-PIB-Corriente 2018-24'!B$51,DATOS!$B:$B,"B100101",DATOS!$G:$G,"0301",DATOS!$C:$C,"00")</f>
        <v>31121.884273823933</v>
      </c>
      <c r="C54" s="53">
        <f>SUMIFS(DATOS!$F:$F,DATOS!$D:$D,"PIBP_03",DATOS!$A:$A,'Cuadro 19-PIB-Corriente 2018-24'!C$51,DATOS!$B:$B,"B100101",DATOS!$G:$G,"0301",DATOS!$C:$C,"00")</f>
        <v>30961.039161825542</v>
      </c>
      <c r="D54" s="53">
        <f>SUMIFS(DATOS!$F:$F,DATOS!$D:$D,"PIBP_03",DATOS!$A:$A,'Cuadro 19-PIB-Corriente 2018-24'!D$51,DATOS!$B:$B,"B100101",DATOS!$G:$G,"0301",DATOS!$C:$C,"00")</f>
        <v>26343.117674019664</v>
      </c>
      <c r="E54" s="53">
        <f>SUMIFS(DATOS!$F:$F,DATOS!$D:$D,"PIBP_03",DATOS!$A:$A,'Cuadro 19-PIB-Corriente 2018-24'!E$51,DATOS!$B:$B,"B100101",DATOS!$G:$G,"0301",DATOS!$C:$C,"00")</f>
        <v>30702.298229446151</v>
      </c>
      <c r="F54" s="53">
        <f>SUMIFS(DATOS!$F:$F,DATOS!$D:$D,"PIBP_03",DATOS!$A:$A,'Cuadro 19-PIB-Corriente 2018-24'!F$51,DATOS!$B:$B,"B100101",DATOS!$G:$G,"0301",DATOS!$C:$C,"00")</f>
        <v>36135.160616161862</v>
      </c>
      <c r="G54" s="53">
        <f>SUMIFS(DATOS!$F:$F,DATOS!$D:$D,"PIBP_03",DATOS!$A:$A,'Cuadro 19-PIB-Corriente 2018-24'!G$51,DATOS!$B:$B,"B100101",DATOS!$G:$G,"0301",DATOS!$C:$C,"00")</f>
        <v>34100.352848235096</v>
      </c>
      <c r="H54" s="53">
        <f>SUMIFS(DATOS!$F:$F,DATOS!$D:$D,"PIBP_03",DATOS!$A:$A,'Cuadro 19-PIB-Corriente 2018-24'!H$51,DATOS!$B:$B,"B100101",DATOS!$G:$G,"0301",DATOS!$C:$C,"00")</f>
        <v>24687.838216718159</v>
      </c>
    </row>
    <row r="55" spans="1:10" ht="32.25" customHeight="1">
      <c r="A55" s="4" t="s">
        <v>77</v>
      </c>
      <c r="B55" s="53">
        <f>SUMIFS(DATOS!$F:$F,DATOS!$D:$D,"PIBP_04",DATOS!$A:$A,'Cuadro 19-PIB-Corriente 2018-24'!B$51,DATOS!$B:$B,"B100101",DATOS!$G:$G,"0301",DATOS!$C:$C,"00")</f>
        <v>5758.9837281113159</v>
      </c>
      <c r="C55" s="53">
        <f>SUMIFS(DATOS!$F:$F,DATOS!$D:$D,"PIBP_04",DATOS!$A:$A,'Cuadro 19-PIB-Corriente 2018-24'!C$51,DATOS!$B:$B,"B100101",DATOS!$G:$G,"0301",DATOS!$C:$C,"00")</f>
        <v>5995.9620129610057</v>
      </c>
      <c r="D55" s="53">
        <f>SUMIFS(DATOS!$F:$F,DATOS!$D:$D,"PIBP_04",DATOS!$A:$A,'Cuadro 19-PIB-Corriente 2018-24'!D$51,DATOS!$B:$B,"B100101",DATOS!$G:$G,"0301",DATOS!$C:$C,"00")</f>
        <v>5166.109732875927</v>
      </c>
      <c r="E55" s="53">
        <f>SUMIFS(DATOS!$F:$F,DATOS!$D:$D,"PIBP_04",DATOS!$A:$A,'Cuadro 19-PIB-Corriente 2018-24'!E$51,DATOS!$B:$B,"B100101",DATOS!$G:$G,"0301",DATOS!$C:$C,"00")</f>
        <v>6271.0532831687915</v>
      </c>
      <c r="F55" s="53">
        <f>SUMIFS(DATOS!$F:$F,DATOS!$D:$D,"PIBP_04",DATOS!$A:$A,'Cuadro 19-PIB-Corriente 2018-24'!F$51,DATOS!$B:$B,"B100101",DATOS!$G:$G,"0301",DATOS!$C:$C,"00")</f>
        <v>6624.5549174850103</v>
      </c>
      <c r="G55" s="53">
        <f>SUMIFS(DATOS!$F:$F,DATOS!$D:$D,"PIBP_04",DATOS!$A:$A,'Cuadro 19-PIB-Corriente 2018-24'!G$51,DATOS!$B:$B,"B100101",DATOS!$G:$G,"0301",DATOS!$C:$C,"00")</f>
        <v>7033.0628151278306</v>
      </c>
      <c r="H55" s="53">
        <f>SUMIFS(DATOS!$F:$F,DATOS!$D:$D,"PIBP_04",DATOS!$A:$A,'Cuadro 19-PIB-Corriente 2018-24'!H$51,DATOS!$B:$B,"B100101",DATOS!$G:$G,"0301",DATOS!$C:$C,"00")</f>
        <v>7462.9548127112475</v>
      </c>
    </row>
    <row r="56" spans="1:10" ht="32.25" customHeight="1">
      <c r="A56" s="4" t="s">
        <v>71</v>
      </c>
      <c r="B56" s="53">
        <f>SUMIFS(DATOS!$F:$F,DATOS!$D:$D,"PIBP_05",DATOS!$A:$A,'Cuadro 19-PIB-Corriente 2018-24'!B$51,DATOS!$B:$B,"B100101",DATOS!$G:$G,"0301",DATOS!$C:$C,"00")</f>
        <v>3471.4477258513502</v>
      </c>
      <c r="C56" s="53">
        <f>SUMIFS(DATOS!$F:$F,DATOS!$D:$D,"PIBP_05",DATOS!$A:$A,'Cuadro 19-PIB-Corriente 2018-24'!C$51,DATOS!$B:$B,"B100101",DATOS!$G:$G,"0301",DATOS!$C:$C,"00")</f>
        <v>3518.4045698478853</v>
      </c>
      <c r="D56" s="53">
        <f>SUMIFS(DATOS!$F:$F,DATOS!$D:$D,"PIBP_05",DATOS!$A:$A,'Cuadro 19-PIB-Corriente 2018-24'!D$51,DATOS!$B:$B,"B100101",DATOS!$G:$G,"0301",DATOS!$C:$C,"00")</f>
        <v>3422.9115351551663</v>
      </c>
      <c r="E56" s="53">
        <f>SUMIFS(DATOS!$F:$F,DATOS!$D:$D,"PIBP_05",DATOS!$A:$A,'Cuadro 19-PIB-Corriente 2018-24'!E$51,DATOS!$B:$B,"B100101",DATOS!$G:$G,"0301",DATOS!$C:$C,"00")</f>
        <v>3738.3984082029842</v>
      </c>
      <c r="F56" s="53">
        <f>SUMIFS(DATOS!$F:$F,DATOS!$D:$D,"PIBP_05",DATOS!$A:$A,'Cuadro 19-PIB-Corriente 2018-24'!F$51,DATOS!$B:$B,"B100101",DATOS!$G:$G,"0301",DATOS!$C:$C,"00")</f>
        <v>3828.2149535414637</v>
      </c>
      <c r="G56" s="53">
        <f>SUMIFS(DATOS!$F:$F,DATOS!$D:$D,"PIBP_05",DATOS!$A:$A,'Cuadro 19-PIB-Corriente 2018-24'!G$51,DATOS!$B:$B,"B100101",DATOS!$G:$G,"0301",DATOS!$C:$C,"00")</f>
        <v>4502.2258487267218</v>
      </c>
      <c r="H56" s="53">
        <f>SUMIFS(DATOS!$F:$F,DATOS!$D:$D,"PIBP_05",DATOS!$A:$A,'Cuadro 19-PIB-Corriente 2018-24'!H$51,DATOS!$B:$B,"B100101",DATOS!$G:$G,"0301",DATOS!$C:$C,"00")</f>
        <v>4610.3994108105926</v>
      </c>
    </row>
    <row r="57" spans="1:10" ht="32.25" customHeight="1">
      <c r="A57" s="3" t="s">
        <v>17</v>
      </c>
      <c r="B57" s="53">
        <f>SUMIFS(DATOS!$F:$F,DATOS!$D:$D,"PIBP_06",DATOS!$A:$A,'Cuadro 19-PIB-Corriente 2018-24'!B$51,DATOS!$B:$B,"B100101",DATOS!$G:$G,"0301",DATOS!$C:$C,"00")</f>
        <v>6529.2178672771315</v>
      </c>
      <c r="C57" s="53">
        <f>SUMIFS(DATOS!$F:$F,DATOS!$D:$D,"PIBP_06",DATOS!$A:$A,'Cuadro 19-PIB-Corriente 2018-24'!C$51,DATOS!$B:$B,"B100101",DATOS!$G:$G,"0301",DATOS!$C:$C,"00")</f>
        <v>6879.7326310528579</v>
      </c>
      <c r="D57" s="53">
        <f>SUMIFS(DATOS!$F:$F,DATOS!$D:$D,"PIBP_06",DATOS!$A:$A,'Cuadro 19-PIB-Corriente 2018-24'!D$51,DATOS!$B:$B,"B100101",DATOS!$G:$G,"0301",DATOS!$C:$C,"00")</f>
        <v>6134.723580921398</v>
      </c>
      <c r="E57" s="53">
        <f>SUMIFS(DATOS!$F:$F,DATOS!$D:$D,"PIBP_06",DATOS!$A:$A,'Cuadro 19-PIB-Corriente 2018-24'!E$51,DATOS!$B:$B,"B100101",DATOS!$G:$G,"0301",DATOS!$C:$C,"00")</f>
        <v>7132.2333324307865</v>
      </c>
      <c r="F57" s="53">
        <f>SUMIFS(DATOS!$F:$F,DATOS!$D:$D,"PIBP_06",DATOS!$A:$A,'Cuadro 19-PIB-Corriente 2018-24'!F$51,DATOS!$B:$B,"B100101",DATOS!$G:$G,"0301",DATOS!$C:$C,"00")</f>
        <v>7845.8574347707017</v>
      </c>
      <c r="G57" s="53">
        <f>SUMIFS(DATOS!$F:$F,DATOS!$D:$D,"PIBP_06",DATOS!$A:$A,'Cuadro 19-PIB-Corriente 2018-24'!G$51,DATOS!$B:$B,"B100101",DATOS!$G:$G,"0301",DATOS!$C:$C,"00")</f>
        <v>8050.5478550413645</v>
      </c>
      <c r="H57" s="53">
        <f>SUMIFS(DATOS!$F:$F,DATOS!$D:$D,"PIBP_06",DATOS!$A:$A,'Cuadro 19-PIB-Corriente 2018-24'!H$51,DATOS!$B:$B,"B100101",DATOS!$G:$G,"0301",DATOS!$C:$C,"00")</f>
        <v>9188.8575814151773</v>
      </c>
    </row>
    <row r="58" spans="1:10" ht="32.25" customHeight="1">
      <c r="A58" s="3" t="s">
        <v>18</v>
      </c>
      <c r="B58" s="53">
        <f>SUMIFS(DATOS!$F:$F,DATOS!$D:$D,"PIBP_07",DATOS!$A:$A,'Cuadro 19-PIB-Corriente 2018-24'!B$51,DATOS!$B:$B,"B100101",DATOS!$G:$G,"0301",DATOS!$C:$C,"00")</f>
        <v>7500.4937270177452</v>
      </c>
      <c r="C58" s="53">
        <f>SUMIFS(DATOS!$F:$F,DATOS!$D:$D,"PIBP_07",DATOS!$A:$A,'Cuadro 19-PIB-Corriente 2018-24'!C$51,DATOS!$B:$B,"B100101",DATOS!$G:$G,"0301",DATOS!$C:$C,"00")</f>
        <v>9421.9204200235818</v>
      </c>
      <c r="D58" s="53">
        <f>SUMIFS(DATOS!$F:$F,DATOS!$D:$D,"PIBP_07",DATOS!$A:$A,'Cuadro 19-PIB-Corriente 2018-24'!D$51,DATOS!$B:$B,"B100101",DATOS!$G:$G,"0301",DATOS!$C:$C,"00")</f>
        <v>7957.0764481040078</v>
      </c>
      <c r="E58" s="53">
        <f>SUMIFS(DATOS!$F:$F,DATOS!$D:$D,"PIBP_07",DATOS!$A:$A,'Cuadro 19-PIB-Corriente 2018-24'!E$51,DATOS!$B:$B,"B100101",DATOS!$G:$G,"0301",DATOS!$C:$C,"00")</f>
        <v>9142.152649190577</v>
      </c>
      <c r="F58" s="53">
        <f>SUMIFS(DATOS!$F:$F,DATOS!$D:$D,"PIBP_07",DATOS!$A:$A,'Cuadro 19-PIB-Corriente 2018-24'!F$51,DATOS!$B:$B,"B100101",DATOS!$G:$G,"0301",DATOS!$C:$C,"00")</f>
        <v>10191.54905881227</v>
      </c>
      <c r="G58" s="53">
        <f>SUMIFS(DATOS!$F:$F,DATOS!$D:$D,"PIBP_07",DATOS!$A:$A,'Cuadro 19-PIB-Corriente 2018-24'!G$51,DATOS!$B:$B,"B100101",DATOS!$G:$G,"0301",DATOS!$C:$C,"00")</f>
        <v>9773.3183016142084</v>
      </c>
      <c r="H58" s="53">
        <f>SUMIFS(DATOS!$F:$F,DATOS!$D:$D,"PIBP_07",DATOS!$A:$A,'Cuadro 19-PIB-Corriente 2018-24'!H$51,DATOS!$B:$B,"B100101",DATOS!$G:$G,"0301",DATOS!$C:$C,"00")</f>
        <v>11307.319163227856</v>
      </c>
    </row>
    <row r="59" spans="1:10" ht="32.25" customHeight="1">
      <c r="A59" s="3" t="s">
        <v>19</v>
      </c>
      <c r="B59" s="53">
        <f>SUMIFS(DATOS!$F:$F,DATOS!$D:$D,"PIBP_08",DATOS!$A:$A,'Cuadro 19-PIB-Corriente 2018-24'!B$51,DATOS!$B:$B,"B100101",DATOS!$G:$G,"0301",DATOS!$C:$C,"00")</f>
        <v>25194.852402851982</v>
      </c>
      <c r="C59" s="53">
        <f>SUMIFS(DATOS!$F:$F,DATOS!$D:$D,"PIBP_08",DATOS!$A:$A,'Cuadro 19-PIB-Corriente 2018-24'!C$51,DATOS!$B:$B,"B100101",DATOS!$G:$G,"0301",DATOS!$C:$C,"00")</f>
        <v>25408.24142000451</v>
      </c>
      <c r="D59" s="53">
        <f>SUMIFS(DATOS!$F:$F,DATOS!$D:$D,"PIBP_08",DATOS!$A:$A,'Cuadro 19-PIB-Corriente 2018-24'!D$51,DATOS!$B:$B,"B100101",DATOS!$G:$G,"0301",DATOS!$C:$C,"00")</f>
        <v>19502.298153780728</v>
      </c>
      <c r="E59" s="53">
        <f>SUMIFS(DATOS!$F:$F,DATOS!$D:$D,"PIBP_08",DATOS!$A:$A,'Cuadro 19-PIB-Corriente 2018-24'!E$51,DATOS!$B:$B,"B100101",DATOS!$G:$G,"0301",DATOS!$C:$C,"00")</f>
        <v>22597.823031361713</v>
      </c>
      <c r="F59" s="53">
        <f>SUMIFS(DATOS!$F:$F,DATOS!$D:$D,"PIBP_08",DATOS!$A:$A,'Cuadro 19-PIB-Corriente 2018-24'!F$51,DATOS!$B:$B,"B100101",DATOS!$G:$G,"0301",DATOS!$C:$C,"00")</f>
        <v>25562.565352244372</v>
      </c>
      <c r="G59" s="53">
        <f>SUMIFS(DATOS!$F:$F,DATOS!$D:$D,"PIBP_08",DATOS!$A:$A,'Cuadro 19-PIB-Corriente 2018-24'!G$51,DATOS!$B:$B,"B100101",DATOS!$G:$G,"0301",DATOS!$C:$C,"00")</f>
        <v>28536.732217364115</v>
      </c>
      <c r="H59" s="53">
        <f>SUMIFS(DATOS!$F:$F,DATOS!$D:$D,"PIBP_08",DATOS!$A:$A,'Cuadro 19-PIB-Corriente 2018-24'!H$51,DATOS!$B:$B,"B100101",DATOS!$G:$G,"0301",DATOS!$C:$C,"00")</f>
        <v>29956.854178323196</v>
      </c>
    </row>
    <row r="60" spans="1:10" ht="32.25" customHeight="1">
      <c r="A60" s="3" t="s">
        <v>24</v>
      </c>
      <c r="B60" s="53">
        <f>SUMIFS(DATOS!$F:$F,DATOS!$D:$D,"PIBP_13",DATOS!$A:$A,'Cuadro 19-PIB-Corriente 2018-24'!B$51,DATOS!$B:$B,"B100101",DATOS!$G:$G,"0301",DATOS!$C:$C,"00")</f>
        <v>10450.750719933927</v>
      </c>
      <c r="C60" s="53">
        <f>SUMIFS(DATOS!$F:$F,DATOS!$D:$D,"PIBP_13",DATOS!$A:$A,'Cuadro 19-PIB-Corriente 2018-24'!C$51,DATOS!$B:$B,"B100101",DATOS!$G:$G,"0301",DATOS!$C:$C,"00")</f>
        <v>11865.215513906543</v>
      </c>
      <c r="D60" s="53">
        <f>SUMIFS(DATOS!$F:$F,DATOS!$D:$D,"PIBP_13",DATOS!$A:$A,'Cuadro 19-PIB-Corriente 2018-24'!D$51,DATOS!$B:$B,"B100101",DATOS!$G:$G,"0301",DATOS!$C:$C,"00")</f>
        <v>10147.568557578263</v>
      </c>
      <c r="E60" s="53">
        <f>SUMIFS(DATOS!$F:$F,DATOS!$D:$D,"PIBP_13",DATOS!$A:$A,'Cuadro 19-PIB-Corriente 2018-24'!E$51,DATOS!$B:$B,"B100101",DATOS!$G:$G,"0301",DATOS!$C:$C,"00")</f>
        <v>11509.79266932819</v>
      </c>
      <c r="F60" s="53">
        <f>SUMIFS(DATOS!$F:$F,DATOS!$D:$D,"PIBP_13",DATOS!$A:$A,'Cuadro 19-PIB-Corriente 2018-24'!F$51,DATOS!$B:$B,"B100101",DATOS!$G:$G,"0301",DATOS!$C:$C,"00")</f>
        <v>12348.574133271046</v>
      </c>
      <c r="G60" s="53">
        <f>SUMIFS(DATOS!$F:$F,DATOS!$D:$D,"PIBP_13",DATOS!$A:$A,'Cuadro 19-PIB-Corriente 2018-24'!G$51,DATOS!$B:$B,"B100101",DATOS!$G:$G,"0301",DATOS!$C:$C,"00")</f>
        <v>14357.862723919161</v>
      </c>
      <c r="H60" s="53">
        <f>SUMIFS(DATOS!$F:$F,DATOS!$D:$D,"PIBP_13",DATOS!$A:$A,'Cuadro 19-PIB-Corriente 2018-24'!H$51,DATOS!$B:$B,"B100101",DATOS!$G:$G,"0301",DATOS!$C:$C,"00")</f>
        <v>17285.922588014451</v>
      </c>
    </row>
    <row r="61" spans="1:10" ht="32.25" customHeight="1">
      <c r="A61" s="6" t="s">
        <v>78</v>
      </c>
      <c r="B61" s="53">
        <f>SUMIFS(DATOS!$F:$F,DATOS!$D:$D,"PIBP_09",DATOS!$A:$A,'Cuadro 19-PIB-Corriente 2018-24'!B$51,DATOS!$B:$B,"B100101",DATOS!$G:$G,"0301",DATOS!$C:$C,"00")</f>
        <v>7233.1053010719579</v>
      </c>
      <c r="C61" s="53">
        <f>SUMIFS(DATOS!$F:$F,DATOS!$D:$D,"PIBP_09",DATOS!$A:$A,'Cuadro 19-PIB-Corriente 2018-24'!C$51,DATOS!$B:$B,"B100101",DATOS!$G:$G,"0301",DATOS!$C:$C,"00")</f>
        <v>7199.2960841103777</v>
      </c>
      <c r="D61" s="53">
        <f>SUMIFS(DATOS!$F:$F,DATOS!$D:$D,"PIBP_09",DATOS!$A:$A,'Cuadro 19-PIB-Corriente 2018-24'!D$51,DATOS!$B:$B,"B100101",DATOS!$G:$G,"0301",DATOS!$C:$C,"00")</f>
        <v>6448.7080328443108</v>
      </c>
      <c r="E61" s="53">
        <f>SUMIFS(DATOS!$F:$F,DATOS!$D:$D,"PIBP_09",DATOS!$A:$A,'Cuadro 19-PIB-Corriente 2018-24'!E$51,DATOS!$B:$B,"B100101",DATOS!$G:$G,"0301",DATOS!$C:$C,"00")</f>
        <v>7648.2174181185765</v>
      </c>
      <c r="F61" s="53">
        <f>SUMIFS(DATOS!$F:$F,DATOS!$D:$D,"PIBP_09",DATOS!$A:$A,'Cuadro 19-PIB-Corriente 2018-24'!F$51,DATOS!$B:$B,"B100101",DATOS!$G:$G,"0301",DATOS!$C:$C,"00")</f>
        <v>8313.7864433344148</v>
      </c>
      <c r="G61" s="53">
        <f>SUMIFS(DATOS!$F:$F,DATOS!$D:$D,"PIBP_09",DATOS!$A:$A,'Cuadro 19-PIB-Corriente 2018-24'!G$51,DATOS!$B:$B,"B100101",DATOS!$G:$G,"0301",DATOS!$C:$C,"00")</f>
        <v>8635.9811144420473</v>
      </c>
      <c r="H61" s="53">
        <f>SUMIFS(DATOS!$F:$F,DATOS!$D:$D,"PIBP_09",DATOS!$A:$A,'Cuadro 19-PIB-Corriente 2018-24'!H$51,DATOS!$B:$B,"B100101",DATOS!$G:$G,"0301",DATOS!$C:$C,"00")</f>
        <v>9025.8124619203554</v>
      </c>
    </row>
    <row r="62" spans="1:10" ht="25.5">
      <c r="A62" s="16" t="s">
        <v>75</v>
      </c>
      <c r="B62" s="54">
        <f>SUMIFS(DATOS!$F:$F,DATOS!$D:$D,"PIBP",DATOS!$A:$A,'Cuadro 19-PIB-Corriente 2018-24'!B$51,DATOS!$B:$B,"B100101",DATOS!$G:$G,"0301",DATOS!$C:$C,"00")</f>
        <v>16186.579386625546</v>
      </c>
      <c r="C62" s="54">
        <f>SUMIFS(DATOS!$F:$F,DATOS!$D:$D,"PIBP",DATOS!$A:$A,'Cuadro 19-PIB-Corriente 2018-24'!C$51,DATOS!$B:$B,"B100101",DATOS!$G:$G,"0301",DATOS!$C:$C,"00")</f>
        <v>16539.977925650335</v>
      </c>
      <c r="D62" s="54">
        <f>SUMIFS(DATOS!$F:$F,DATOS!$D:$D,"PIBP",DATOS!$A:$A,'Cuadro 19-PIB-Corriente 2018-24'!D$51,DATOS!$B:$B,"B100101",DATOS!$G:$G,"0301",DATOS!$C:$C,"00")</f>
        <v>13336.413818285058</v>
      </c>
      <c r="E62" s="54">
        <f>SUMIFS(DATOS!$F:$F,DATOS!$D:$D,"PIBP",DATOS!$A:$A,'Cuadro 19-PIB-Corriente 2018-24'!E$51,DATOS!$B:$B,"B100101",DATOS!$G:$G,"0301",DATOS!$C:$C,"00")</f>
        <v>15538.409940466219</v>
      </c>
      <c r="F62" s="54">
        <f>SUMIFS(DATOS!$F:$F,DATOS!$D:$D,"PIBP",DATOS!$A:$A,'Cuadro 19-PIB-Corriente 2018-24'!F$51,DATOS!$B:$B,"B100101",DATOS!$G:$G,"0301",DATOS!$C:$C,"00")</f>
        <v>17399.795439277728</v>
      </c>
      <c r="G62" s="54">
        <f>SUMIFS(DATOS!$F:$F,DATOS!$D:$D,"PIBP",DATOS!$A:$A,'Cuadro 19-PIB-Corriente 2018-24'!G$51,DATOS!$B:$B,"B100101",DATOS!$G:$G,"0301",DATOS!$C:$C,"00")</f>
        <v>18822.251691642614</v>
      </c>
      <c r="H62" s="54">
        <f>SUMIFS(DATOS!$F:$F,DATOS!$D:$D,"PIBP",DATOS!$A:$A,'Cuadro 19-PIB-Corriente 2018-24'!H$51,DATOS!$B:$B,"B100101",DATOS!$G:$G,"0301",DATOS!$C:$C,"00")</f>
        <v>19186.912856050898</v>
      </c>
    </row>
    <row r="63" spans="1:10">
      <c r="H63" s="55"/>
    </row>
    <row r="64" spans="1:10" ht="12.75" customHeight="1">
      <c r="A64" s="209" t="s">
        <v>65</v>
      </c>
      <c r="B64" s="210"/>
      <c r="C64" s="210"/>
      <c r="D64" s="210"/>
      <c r="E64" s="210"/>
      <c r="F64" s="70"/>
      <c r="G64" s="70"/>
      <c r="H64" s="96"/>
      <c r="J64" s="96"/>
    </row>
    <row r="65" spans="1:10">
      <c r="A65" s="64" t="s">
        <v>88</v>
      </c>
      <c r="B65" s="43"/>
      <c r="C65" s="43"/>
      <c r="D65" s="43"/>
      <c r="E65" s="44"/>
      <c r="F65" s="43"/>
      <c r="G65" s="69"/>
      <c r="H65" s="97"/>
      <c r="J65" s="97"/>
    </row>
    <row r="66" spans="1:10">
      <c r="A66" s="64" t="s">
        <v>89</v>
      </c>
      <c r="B66" s="45"/>
      <c r="C66" s="45"/>
      <c r="F66" s="101"/>
    </row>
    <row r="67" spans="1:10">
      <c r="A67" s="64" t="s">
        <v>352</v>
      </c>
      <c r="B67" s="45"/>
      <c r="C67" s="45"/>
      <c r="F67" s="101"/>
    </row>
    <row r="68" spans="1:10">
      <c r="A68" s="64" t="s">
        <v>90</v>
      </c>
      <c r="B68" s="45"/>
      <c r="C68" s="45"/>
      <c r="F68" s="101"/>
    </row>
    <row r="69" spans="1:10">
      <c r="A69" s="18" t="s">
        <v>103</v>
      </c>
      <c r="B69" s="45"/>
      <c r="C69" s="45"/>
      <c r="F69" s="101"/>
    </row>
    <row r="70" spans="1:10">
      <c r="A70" s="18" t="s">
        <v>79</v>
      </c>
      <c r="B70" s="104"/>
      <c r="C70" s="104"/>
      <c r="D70" s="46"/>
      <c r="E70" s="46"/>
      <c r="F70" s="46"/>
    </row>
    <row r="71" spans="1:10">
      <c r="A71" s="18" t="s">
        <v>345</v>
      </c>
      <c r="B71" s="46"/>
      <c r="C71" s="46"/>
      <c r="D71" s="46"/>
      <c r="E71" s="46"/>
      <c r="F71" s="46"/>
    </row>
    <row r="72" spans="1:10">
      <c r="A72" s="18" t="s">
        <v>72</v>
      </c>
      <c r="C72" s="18"/>
    </row>
    <row r="73" spans="1:10">
      <c r="A73" s="121" t="s">
        <v>87</v>
      </c>
      <c r="C73" s="18"/>
    </row>
    <row r="74" spans="1:10">
      <c r="A74" s="122" t="s">
        <v>83</v>
      </c>
      <c r="C74" s="18"/>
    </row>
    <row r="75" spans="1:10">
      <c r="A75" s="18" t="s">
        <v>23</v>
      </c>
      <c r="C75" s="10"/>
    </row>
    <row r="77" spans="1:10">
      <c r="A77" s="18"/>
    </row>
    <row r="79" spans="1:10">
      <c r="F79" s="101"/>
    </row>
    <row r="80" spans="1:10">
      <c r="B80" s="40"/>
      <c r="C80" s="40"/>
      <c r="D80" s="40"/>
      <c r="E80" s="40"/>
      <c r="F80" s="40"/>
    </row>
  </sheetData>
  <mergeCells count="9">
    <mergeCell ref="A64:E64"/>
    <mergeCell ref="A37:B37"/>
    <mergeCell ref="A35:B36"/>
    <mergeCell ref="B5:H5"/>
    <mergeCell ref="A20:A21"/>
    <mergeCell ref="B20:H20"/>
    <mergeCell ref="A5:A6"/>
    <mergeCell ref="A50:A51"/>
    <mergeCell ref="B50:H50"/>
  </mergeCells>
  <hyperlinks>
    <hyperlink ref="J2" location="Índice!A1" display="Índice"/>
    <hyperlink ref="J3" location="'Cuadro 19-PIB-Corriente 2018-24'!A20" display="Composición "/>
    <hyperlink ref="J4" location="'Cuadro 19-PIB-Corriente 2018-24'!A34" display="Variación porcentual"/>
    <hyperlink ref="J5" location="'Cuadro 19-PIB-Corriente 2018-24'!A52" display="Per cápita"/>
  </hyperlink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r:id="rId1"/>
  <rowBreaks count="3" manualBreakCount="3">
    <brk id="17" max="7" man="1"/>
    <brk id="32" max="7" man="1"/>
    <brk id="47" max="7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H2421"/>
  <sheetViews>
    <sheetView workbookViewId="0"/>
  </sheetViews>
  <sheetFormatPr baseColWidth="10" defaultRowHeight="15"/>
  <cols>
    <col min="1" max="1" width="10" style="147" customWidth="1"/>
    <col min="2" max="2" width="14.7109375" style="147" bestFit="1" customWidth="1"/>
    <col min="3" max="3" width="12.7109375" style="147" bestFit="1" customWidth="1"/>
    <col min="4" max="4" width="12.85546875" style="147" bestFit="1" customWidth="1"/>
    <col min="5" max="5" width="12.42578125" style="147" bestFit="1" customWidth="1"/>
    <col min="6" max="6" width="10.5703125" style="149" bestFit="1" customWidth="1"/>
    <col min="7" max="7" width="13.85546875" style="148" bestFit="1" customWidth="1"/>
    <col min="8" max="16384" width="11.42578125" style="115"/>
  </cols>
  <sheetData>
    <row r="1" spans="1:8">
      <c r="A1" s="202" t="s">
        <v>116</v>
      </c>
      <c r="B1" s="202" t="s">
        <v>117</v>
      </c>
      <c r="C1" s="202" t="s">
        <v>118</v>
      </c>
      <c r="D1" s="202" t="s">
        <v>119</v>
      </c>
      <c r="E1" s="202" t="s">
        <v>120</v>
      </c>
      <c r="F1" s="202" t="s">
        <v>121</v>
      </c>
      <c r="G1" s="202" t="s">
        <v>122</v>
      </c>
    </row>
    <row r="2" spans="1:8">
      <c r="A2" s="147">
        <v>2018</v>
      </c>
      <c r="B2" s="148" t="s">
        <v>217</v>
      </c>
      <c r="C2" s="148" t="s">
        <v>133</v>
      </c>
      <c r="D2" s="148" t="s">
        <v>0</v>
      </c>
      <c r="E2" s="148" t="s">
        <v>218</v>
      </c>
      <c r="F2" s="148">
        <v>109.33795014829207</v>
      </c>
      <c r="G2" s="148" t="s">
        <v>219</v>
      </c>
      <c r="H2" s="148"/>
    </row>
    <row r="3" spans="1:8">
      <c r="A3" s="147">
        <v>2019</v>
      </c>
      <c r="B3" s="148" t="s">
        <v>217</v>
      </c>
      <c r="C3" s="148" t="s">
        <v>133</v>
      </c>
      <c r="D3" s="148" t="s">
        <v>0</v>
      </c>
      <c r="E3" s="148" t="s">
        <v>218</v>
      </c>
      <c r="F3" s="148">
        <v>173.46801324013632</v>
      </c>
      <c r="G3" s="148" t="s">
        <v>219</v>
      </c>
      <c r="H3" s="148"/>
    </row>
    <row r="4" spans="1:8">
      <c r="A4" s="147">
        <v>2020</v>
      </c>
      <c r="B4" s="148" t="s">
        <v>217</v>
      </c>
      <c r="C4" s="148" t="s">
        <v>133</v>
      </c>
      <c r="D4" s="148" t="s">
        <v>0</v>
      </c>
      <c r="E4" s="148" t="s">
        <v>218</v>
      </c>
      <c r="F4" s="148">
        <v>184.45308728314038</v>
      </c>
      <c r="G4" s="148" t="s">
        <v>219</v>
      </c>
      <c r="H4" s="148"/>
    </row>
    <row r="5" spans="1:8">
      <c r="A5" s="147">
        <v>2021</v>
      </c>
      <c r="B5" s="148" t="s">
        <v>217</v>
      </c>
      <c r="C5" s="148" t="s">
        <v>133</v>
      </c>
      <c r="D5" s="148" t="s">
        <v>0</v>
      </c>
      <c r="E5" s="148" t="s">
        <v>218</v>
      </c>
      <c r="F5" s="148">
        <v>160.50334284536723</v>
      </c>
      <c r="G5" s="148" t="s">
        <v>219</v>
      </c>
      <c r="H5" s="148"/>
    </row>
    <row r="6" spans="1:8">
      <c r="A6" s="147">
        <v>2022</v>
      </c>
      <c r="B6" s="148" t="s">
        <v>217</v>
      </c>
      <c r="C6" s="148" t="s">
        <v>133</v>
      </c>
      <c r="D6" s="148" t="s">
        <v>0</v>
      </c>
      <c r="E6" s="148" t="s">
        <v>218</v>
      </c>
      <c r="F6" s="148">
        <v>144.10788878063968</v>
      </c>
      <c r="G6" s="148" t="s">
        <v>219</v>
      </c>
      <c r="H6" s="148"/>
    </row>
    <row r="7" spans="1:8">
      <c r="A7" s="147" t="s">
        <v>185</v>
      </c>
      <c r="B7" s="148" t="s">
        <v>217</v>
      </c>
      <c r="C7" s="148" t="s">
        <v>133</v>
      </c>
      <c r="D7" s="148" t="s">
        <v>0</v>
      </c>
      <c r="E7" s="148" t="s">
        <v>218</v>
      </c>
      <c r="F7" s="148">
        <v>161.10112623822494</v>
      </c>
      <c r="G7" s="148" t="s">
        <v>219</v>
      </c>
      <c r="H7" s="148"/>
    </row>
    <row r="8" spans="1:8">
      <c r="A8" s="147" t="s">
        <v>107</v>
      </c>
      <c r="B8" s="148" t="s">
        <v>217</v>
      </c>
      <c r="C8" s="148" t="s">
        <v>133</v>
      </c>
      <c r="D8" s="148" t="s">
        <v>0</v>
      </c>
      <c r="E8" s="148" t="s">
        <v>218</v>
      </c>
      <c r="F8" s="148">
        <v>159.26704431476105</v>
      </c>
      <c r="G8" s="148" t="s">
        <v>219</v>
      </c>
      <c r="H8" s="148"/>
    </row>
    <row r="9" spans="1:8">
      <c r="A9" s="147">
        <v>2018</v>
      </c>
      <c r="B9" s="148" t="s">
        <v>217</v>
      </c>
      <c r="C9" s="148" t="s">
        <v>133</v>
      </c>
      <c r="D9" s="148" t="s">
        <v>1</v>
      </c>
      <c r="E9" s="148" t="s">
        <v>218</v>
      </c>
      <c r="F9" s="148">
        <v>3.1641821972122393</v>
      </c>
      <c r="G9" s="148" t="s">
        <v>219</v>
      </c>
      <c r="H9" s="148"/>
    </row>
    <row r="10" spans="1:8">
      <c r="A10" s="147">
        <v>2019</v>
      </c>
      <c r="B10" s="148" t="s">
        <v>217</v>
      </c>
      <c r="C10" s="148" t="s">
        <v>133</v>
      </c>
      <c r="D10" s="148" t="s">
        <v>1</v>
      </c>
      <c r="E10" s="148" t="s">
        <v>218</v>
      </c>
      <c r="F10" s="148">
        <v>8.4336162851817384</v>
      </c>
      <c r="G10" s="148" t="s">
        <v>219</v>
      </c>
      <c r="H10" s="148"/>
    </row>
    <row r="11" spans="1:8">
      <c r="A11" s="147">
        <v>2020</v>
      </c>
      <c r="B11" s="148" t="s">
        <v>217</v>
      </c>
      <c r="C11" s="148" t="s">
        <v>133</v>
      </c>
      <c r="D11" s="148" t="s">
        <v>1</v>
      </c>
      <c r="E11" s="148" t="s">
        <v>218</v>
      </c>
      <c r="F11" s="148">
        <v>2.8447680160876643</v>
      </c>
      <c r="G11" s="148" t="s">
        <v>219</v>
      </c>
      <c r="H11" s="148"/>
    </row>
    <row r="12" spans="1:8">
      <c r="A12" s="147">
        <v>2021</v>
      </c>
      <c r="B12" s="148" t="s">
        <v>217</v>
      </c>
      <c r="C12" s="148" t="s">
        <v>133</v>
      </c>
      <c r="D12" s="148" t="s">
        <v>1</v>
      </c>
      <c r="E12" s="148" t="s">
        <v>218</v>
      </c>
      <c r="F12" s="148">
        <v>6.1618016630327626</v>
      </c>
      <c r="G12" s="148" t="s">
        <v>219</v>
      </c>
      <c r="H12" s="148"/>
    </row>
    <row r="13" spans="1:8">
      <c r="A13" s="147">
        <v>2022</v>
      </c>
      <c r="B13" s="148" t="s">
        <v>217</v>
      </c>
      <c r="C13" s="148" t="s">
        <v>133</v>
      </c>
      <c r="D13" s="148" t="s">
        <v>1</v>
      </c>
      <c r="E13" s="148" t="s">
        <v>218</v>
      </c>
      <c r="F13" s="148">
        <v>6.3751009164473578</v>
      </c>
      <c r="G13" s="148" t="s">
        <v>219</v>
      </c>
      <c r="H13" s="148"/>
    </row>
    <row r="14" spans="1:8">
      <c r="A14" s="147" t="s">
        <v>185</v>
      </c>
      <c r="B14" s="148" t="s">
        <v>217</v>
      </c>
      <c r="C14" s="148" t="s">
        <v>133</v>
      </c>
      <c r="D14" s="148" t="s">
        <v>1</v>
      </c>
      <c r="E14" s="148" t="s">
        <v>218</v>
      </c>
      <c r="F14" s="148">
        <v>6.1512849672120247</v>
      </c>
      <c r="G14" s="148" t="s">
        <v>219</v>
      </c>
      <c r="H14" s="148"/>
    </row>
    <row r="15" spans="1:8">
      <c r="A15" s="147" t="s">
        <v>107</v>
      </c>
      <c r="B15" s="148" t="s">
        <v>217</v>
      </c>
      <c r="C15" s="148" t="s">
        <v>133</v>
      </c>
      <c r="D15" s="148" t="s">
        <v>1</v>
      </c>
      <c r="E15" s="148" t="s">
        <v>218</v>
      </c>
      <c r="F15" s="148">
        <v>10.695507079130959</v>
      </c>
      <c r="G15" s="148" t="s">
        <v>219</v>
      </c>
      <c r="H15" s="148"/>
    </row>
    <row r="16" spans="1:8">
      <c r="A16" s="147">
        <v>2018</v>
      </c>
      <c r="B16" s="148" t="s">
        <v>217</v>
      </c>
      <c r="C16" s="148" t="s">
        <v>133</v>
      </c>
      <c r="D16" s="148" t="s">
        <v>2</v>
      </c>
      <c r="E16" s="148" t="s">
        <v>218</v>
      </c>
      <c r="F16" s="148">
        <v>0.48768060396060453</v>
      </c>
      <c r="G16" s="148" t="s">
        <v>219</v>
      </c>
      <c r="H16" s="148"/>
    </row>
    <row r="17" spans="1:8">
      <c r="A17" s="147">
        <v>2019</v>
      </c>
      <c r="B17" s="148" t="s">
        <v>217</v>
      </c>
      <c r="C17" s="148" t="s">
        <v>133</v>
      </c>
      <c r="D17" s="148" t="s">
        <v>2</v>
      </c>
      <c r="E17" s="148" t="s">
        <v>218</v>
      </c>
      <c r="F17" s="148">
        <v>0.4803899552908551</v>
      </c>
      <c r="G17" s="148" t="s">
        <v>219</v>
      </c>
      <c r="H17" s="148"/>
    </row>
    <row r="18" spans="1:8">
      <c r="A18" s="147">
        <v>2020</v>
      </c>
      <c r="B18" s="148" t="s">
        <v>217</v>
      </c>
      <c r="C18" s="148" t="s">
        <v>133</v>
      </c>
      <c r="D18" s="148" t="s">
        <v>2</v>
      </c>
      <c r="E18" s="148" t="s">
        <v>218</v>
      </c>
      <c r="F18" s="148">
        <v>0.41987286389992889</v>
      </c>
      <c r="G18" s="148" t="s">
        <v>219</v>
      </c>
      <c r="H18" s="148"/>
    </row>
    <row r="19" spans="1:8">
      <c r="A19" s="147">
        <v>2021</v>
      </c>
      <c r="B19" s="148" t="s">
        <v>217</v>
      </c>
      <c r="C19" s="148" t="s">
        <v>133</v>
      </c>
      <c r="D19" s="148" t="s">
        <v>2</v>
      </c>
      <c r="E19" s="148" t="s">
        <v>218</v>
      </c>
      <c r="F19" s="148">
        <v>0.60431151105825054</v>
      </c>
      <c r="G19" s="148" t="s">
        <v>219</v>
      </c>
      <c r="H19" s="148"/>
    </row>
    <row r="20" spans="1:8">
      <c r="A20" s="147">
        <v>2022</v>
      </c>
      <c r="B20" s="148" t="s">
        <v>217</v>
      </c>
      <c r="C20" s="148" t="s">
        <v>133</v>
      </c>
      <c r="D20" s="148" t="s">
        <v>2</v>
      </c>
      <c r="E20" s="148" t="s">
        <v>218</v>
      </c>
      <c r="F20" s="148">
        <v>0.69488059548259673</v>
      </c>
      <c r="G20" s="148" t="s">
        <v>219</v>
      </c>
      <c r="H20" s="148"/>
    </row>
    <row r="21" spans="1:8">
      <c r="A21" s="147" t="s">
        <v>185</v>
      </c>
      <c r="B21" s="148" t="s">
        <v>217</v>
      </c>
      <c r="C21" s="148" t="s">
        <v>133</v>
      </c>
      <c r="D21" s="148" t="s">
        <v>2</v>
      </c>
      <c r="E21" s="148" t="s">
        <v>218</v>
      </c>
      <c r="F21" s="148">
        <v>0.61639684960130603</v>
      </c>
      <c r="G21" s="148" t="s">
        <v>219</v>
      </c>
      <c r="H21" s="148"/>
    </row>
    <row r="22" spans="1:8">
      <c r="A22" s="147" t="s">
        <v>107</v>
      </c>
      <c r="B22" s="148" t="s">
        <v>217</v>
      </c>
      <c r="C22" s="148" t="s">
        <v>133</v>
      </c>
      <c r="D22" s="148" t="s">
        <v>2</v>
      </c>
      <c r="E22" s="148" t="s">
        <v>218</v>
      </c>
      <c r="F22" s="148">
        <v>0.77373798788766346</v>
      </c>
      <c r="G22" s="148" t="s">
        <v>219</v>
      </c>
      <c r="H22" s="148"/>
    </row>
    <row r="23" spans="1:8">
      <c r="A23" s="147">
        <v>2018</v>
      </c>
      <c r="B23" s="148" t="s">
        <v>217</v>
      </c>
      <c r="C23" s="148" t="s">
        <v>133</v>
      </c>
      <c r="D23" s="148" t="s">
        <v>68</v>
      </c>
      <c r="E23" s="148" t="s">
        <v>218</v>
      </c>
      <c r="F23" s="148">
        <v>207.96915043260398</v>
      </c>
      <c r="G23" s="148" t="s">
        <v>219</v>
      </c>
      <c r="H23" s="148"/>
    </row>
    <row r="24" spans="1:8">
      <c r="A24" s="147">
        <v>2019</v>
      </c>
      <c r="B24" s="148" t="s">
        <v>217</v>
      </c>
      <c r="C24" s="148" t="s">
        <v>133</v>
      </c>
      <c r="D24" s="148" t="s">
        <v>68</v>
      </c>
      <c r="E24" s="148" t="s">
        <v>218</v>
      </c>
      <c r="F24" s="148">
        <v>47.040925223456789</v>
      </c>
      <c r="G24" s="148" t="s">
        <v>219</v>
      </c>
      <c r="H24" s="148"/>
    </row>
    <row r="25" spans="1:8">
      <c r="A25" s="147">
        <v>2020</v>
      </c>
      <c r="B25" s="148" t="s">
        <v>217</v>
      </c>
      <c r="C25" s="148" t="s">
        <v>133</v>
      </c>
      <c r="D25" s="148" t="s">
        <v>68</v>
      </c>
      <c r="E25" s="148" t="s">
        <v>218</v>
      </c>
      <c r="F25" s="148">
        <v>183.2468195690557</v>
      </c>
      <c r="G25" s="148" t="s">
        <v>219</v>
      </c>
      <c r="H25" s="148"/>
    </row>
    <row r="26" spans="1:8">
      <c r="A26" s="147">
        <v>2021</v>
      </c>
      <c r="B26" s="148" t="s">
        <v>217</v>
      </c>
      <c r="C26" s="148" t="s">
        <v>133</v>
      </c>
      <c r="D26" s="148" t="s">
        <v>68</v>
      </c>
      <c r="E26" s="148" t="s">
        <v>218</v>
      </c>
      <c r="F26" s="148">
        <v>248.33107419951898</v>
      </c>
      <c r="G26" s="148" t="s">
        <v>219</v>
      </c>
      <c r="H26" s="148"/>
    </row>
    <row r="27" spans="1:8">
      <c r="A27" s="147">
        <v>2022</v>
      </c>
      <c r="B27" s="148" t="s">
        <v>217</v>
      </c>
      <c r="C27" s="148" t="s">
        <v>133</v>
      </c>
      <c r="D27" s="148" t="s">
        <v>68</v>
      </c>
      <c r="E27" s="148" t="s">
        <v>218</v>
      </c>
      <c r="F27" s="148">
        <v>240.16240942064749</v>
      </c>
      <c r="G27" s="148" t="s">
        <v>219</v>
      </c>
      <c r="H27" s="148"/>
    </row>
    <row r="28" spans="1:8">
      <c r="A28" s="147" t="s">
        <v>185</v>
      </c>
      <c r="B28" s="148" t="s">
        <v>217</v>
      </c>
      <c r="C28" s="148" t="s">
        <v>133</v>
      </c>
      <c r="D28" s="148" t="s">
        <v>68</v>
      </c>
      <c r="E28" s="148" t="s">
        <v>218</v>
      </c>
      <c r="F28" s="148">
        <v>195.17738783494249</v>
      </c>
      <c r="G28" s="148" t="s">
        <v>219</v>
      </c>
      <c r="H28" s="148"/>
    </row>
    <row r="29" spans="1:8">
      <c r="A29" s="147" t="s">
        <v>107</v>
      </c>
      <c r="B29" s="148" t="s">
        <v>217</v>
      </c>
      <c r="C29" s="148" t="s">
        <v>133</v>
      </c>
      <c r="D29" s="148" t="s">
        <v>68</v>
      </c>
      <c r="E29" s="148" t="s">
        <v>218</v>
      </c>
      <c r="F29" s="148">
        <v>211.95581680435689</v>
      </c>
      <c r="G29" s="148" t="s">
        <v>219</v>
      </c>
      <c r="H29" s="148"/>
    </row>
    <row r="30" spans="1:8">
      <c r="A30" s="147">
        <v>2018</v>
      </c>
      <c r="B30" s="148" t="s">
        <v>217</v>
      </c>
      <c r="C30" s="148" t="s">
        <v>133</v>
      </c>
      <c r="D30" s="148" t="s">
        <v>4</v>
      </c>
      <c r="E30" s="148" t="s">
        <v>218</v>
      </c>
      <c r="F30" s="148">
        <v>43.630701431000745</v>
      </c>
      <c r="G30" s="148" t="s">
        <v>219</v>
      </c>
      <c r="H30" s="148"/>
    </row>
    <row r="31" spans="1:8">
      <c r="A31" s="147">
        <v>2019</v>
      </c>
      <c r="B31" s="148" t="s">
        <v>217</v>
      </c>
      <c r="C31" s="148" t="s">
        <v>133</v>
      </c>
      <c r="D31" s="148" t="s">
        <v>4</v>
      </c>
      <c r="E31" s="148" t="s">
        <v>218</v>
      </c>
      <c r="F31" s="148">
        <v>106.83441737056903</v>
      </c>
      <c r="G31" s="148" t="s">
        <v>219</v>
      </c>
      <c r="H31" s="148"/>
    </row>
    <row r="32" spans="1:8">
      <c r="A32" s="147">
        <v>2020</v>
      </c>
      <c r="B32" s="148" t="s">
        <v>217</v>
      </c>
      <c r="C32" s="148" t="s">
        <v>133</v>
      </c>
      <c r="D32" s="148" t="s">
        <v>4</v>
      </c>
      <c r="E32" s="148" t="s">
        <v>218</v>
      </c>
      <c r="F32" s="148">
        <v>36.479067609828441</v>
      </c>
      <c r="G32" s="148" t="s">
        <v>219</v>
      </c>
      <c r="H32" s="148"/>
    </row>
    <row r="33" spans="1:8">
      <c r="A33" s="147">
        <v>2021</v>
      </c>
      <c r="B33" s="148" t="s">
        <v>217</v>
      </c>
      <c r="C33" s="148" t="s">
        <v>133</v>
      </c>
      <c r="D33" s="148" t="s">
        <v>4</v>
      </c>
      <c r="E33" s="148" t="s">
        <v>218</v>
      </c>
      <c r="F33" s="148">
        <v>74.480550389714438</v>
      </c>
      <c r="G33" s="148" t="s">
        <v>219</v>
      </c>
      <c r="H33" s="148"/>
    </row>
    <row r="34" spans="1:8">
      <c r="A34" s="147">
        <v>2022</v>
      </c>
      <c r="B34" s="148" t="s">
        <v>217</v>
      </c>
      <c r="C34" s="148" t="s">
        <v>133</v>
      </c>
      <c r="D34" s="148" t="s">
        <v>4</v>
      </c>
      <c r="E34" s="148" t="s">
        <v>218</v>
      </c>
      <c r="F34" s="148">
        <v>72.523038950660251</v>
      </c>
      <c r="G34" s="148" t="s">
        <v>219</v>
      </c>
      <c r="H34" s="148"/>
    </row>
    <row r="35" spans="1:8">
      <c r="A35" s="147" t="s">
        <v>185</v>
      </c>
      <c r="B35" s="148" t="s">
        <v>217</v>
      </c>
      <c r="C35" s="148" t="s">
        <v>133</v>
      </c>
      <c r="D35" s="148" t="s">
        <v>4</v>
      </c>
      <c r="E35" s="148" t="s">
        <v>218</v>
      </c>
      <c r="F35" s="148">
        <v>70.20039442302722</v>
      </c>
      <c r="G35" s="148" t="s">
        <v>219</v>
      </c>
      <c r="H35" s="148"/>
    </row>
    <row r="36" spans="1:8">
      <c r="A36" s="147" t="s">
        <v>107</v>
      </c>
      <c r="B36" s="148" t="s">
        <v>217</v>
      </c>
      <c r="C36" s="148" t="s">
        <v>133</v>
      </c>
      <c r="D36" s="148" t="s">
        <v>4</v>
      </c>
      <c r="E36" s="148" t="s">
        <v>218</v>
      </c>
      <c r="F36" s="148">
        <v>84.437338985561823</v>
      </c>
      <c r="G36" s="148" t="s">
        <v>219</v>
      </c>
      <c r="H36" s="148"/>
    </row>
    <row r="37" spans="1:8">
      <c r="A37" s="147">
        <v>2018</v>
      </c>
      <c r="B37" s="148" t="s">
        <v>217</v>
      </c>
      <c r="C37" s="148" t="s">
        <v>133</v>
      </c>
      <c r="D37" s="148" t="s">
        <v>5</v>
      </c>
      <c r="E37" s="148" t="s">
        <v>218</v>
      </c>
      <c r="F37" s="148">
        <v>14.472018320433014</v>
      </c>
      <c r="G37" s="148" t="s">
        <v>219</v>
      </c>
      <c r="H37" s="148"/>
    </row>
    <row r="38" spans="1:8">
      <c r="A38" s="147">
        <v>2019</v>
      </c>
      <c r="B38" s="148" t="s">
        <v>217</v>
      </c>
      <c r="C38" s="148" t="s">
        <v>133</v>
      </c>
      <c r="D38" s="148" t="s">
        <v>5</v>
      </c>
      <c r="E38" s="148" t="s">
        <v>218</v>
      </c>
      <c r="F38" s="148">
        <v>19.030432817144817</v>
      </c>
      <c r="G38" s="148" t="s">
        <v>219</v>
      </c>
      <c r="H38" s="148"/>
    </row>
    <row r="39" spans="1:8">
      <c r="A39" s="147">
        <v>2020</v>
      </c>
      <c r="B39" s="148" t="s">
        <v>217</v>
      </c>
      <c r="C39" s="148" t="s">
        <v>133</v>
      </c>
      <c r="D39" s="148" t="s">
        <v>5</v>
      </c>
      <c r="E39" s="148" t="s">
        <v>218</v>
      </c>
      <c r="F39" s="148">
        <v>17.029818395035953</v>
      </c>
      <c r="G39" s="148" t="s">
        <v>219</v>
      </c>
      <c r="H39" s="148"/>
    </row>
    <row r="40" spans="1:8">
      <c r="A40" s="147">
        <v>2021</v>
      </c>
      <c r="B40" s="148" t="s">
        <v>217</v>
      </c>
      <c r="C40" s="148" t="s">
        <v>133</v>
      </c>
      <c r="D40" s="148" t="s">
        <v>5</v>
      </c>
      <c r="E40" s="148" t="s">
        <v>218</v>
      </c>
      <c r="F40" s="148">
        <v>18.840476170508516</v>
      </c>
      <c r="G40" s="148" t="s">
        <v>219</v>
      </c>
      <c r="H40" s="148"/>
    </row>
    <row r="41" spans="1:8">
      <c r="A41" s="147">
        <v>2022</v>
      </c>
      <c r="B41" s="148" t="s">
        <v>217</v>
      </c>
      <c r="C41" s="148" t="s">
        <v>133</v>
      </c>
      <c r="D41" s="148" t="s">
        <v>5</v>
      </c>
      <c r="E41" s="148" t="s">
        <v>218</v>
      </c>
      <c r="F41" s="148">
        <v>21.02225300111569</v>
      </c>
      <c r="G41" s="148" t="s">
        <v>219</v>
      </c>
      <c r="H41" s="148"/>
    </row>
    <row r="42" spans="1:8">
      <c r="A42" s="147" t="s">
        <v>185</v>
      </c>
      <c r="B42" s="148" t="s">
        <v>217</v>
      </c>
      <c r="C42" s="148" t="s">
        <v>133</v>
      </c>
      <c r="D42" s="148" t="s">
        <v>5</v>
      </c>
      <c r="E42" s="148" t="s">
        <v>218</v>
      </c>
      <c r="F42" s="148">
        <v>22.312645119945035</v>
      </c>
      <c r="G42" s="148" t="s">
        <v>219</v>
      </c>
      <c r="H42" s="148"/>
    </row>
    <row r="43" spans="1:8">
      <c r="A43" s="147" t="s">
        <v>107</v>
      </c>
      <c r="B43" s="148" t="s">
        <v>217</v>
      </c>
      <c r="C43" s="148" t="s">
        <v>133</v>
      </c>
      <c r="D43" s="148" t="s">
        <v>5</v>
      </c>
      <c r="E43" s="148" t="s">
        <v>218</v>
      </c>
      <c r="F43" s="148">
        <v>25.034957473356336</v>
      </c>
      <c r="G43" s="148" t="s">
        <v>219</v>
      </c>
      <c r="H43" s="148"/>
    </row>
    <row r="44" spans="1:8">
      <c r="A44" s="147">
        <v>2018</v>
      </c>
      <c r="B44" s="148" t="s">
        <v>217</v>
      </c>
      <c r="C44" s="148" t="s">
        <v>133</v>
      </c>
      <c r="D44" s="148" t="s">
        <v>6</v>
      </c>
      <c r="E44" s="148" t="s">
        <v>218</v>
      </c>
      <c r="F44" s="148">
        <v>67.6296429833735</v>
      </c>
      <c r="G44" s="148" t="s">
        <v>219</v>
      </c>
      <c r="H44" s="148"/>
    </row>
    <row r="45" spans="1:8">
      <c r="A45" s="147">
        <v>2019</v>
      </c>
      <c r="B45" s="148" t="s">
        <v>217</v>
      </c>
      <c r="C45" s="148" t="s">
        <v>133</v>
      </c>
      <c r="D45" s="148" t="s">
        <v>6</v>
      </c>
      <c r="E45" s="148" t="s">
        <v>218</v>
      </c>
      <c r="F45" s="148">
        <v>71.175145944413956</v>
      </c>
      <c r="G45" s="148" t="s">
        <v>219</v>
      </c>
      <c r="H45" s="148"/>
    </row>
    <row r="46" spans="1:8">
      <c r="A46" s="147">
        <v>2020</v>
      </c>
      <c r="B46" s="148" t="s">
        <v>217</v>
      </c>
      <c r="C46" s="148" t="s">
        <v>133</v>
      </c>
      <c r="D46" s="148" t="s">
        <v>6</v>
      </c>
      <c r="E46" s="148" t="s">
        <v>218</v>
      </c>
      <c r="F46" s="148">
        <v>65.024010249531329</v>
      </c>
      <c r="G46" s="148" t="s">
        <v>219</v>
      </c>
      <c r="H46" s="148"/>
    </row>
    <row r="47" spans="1:8">
      <c r="A47" s="147">
        <v>2021</v>
      </c>
      <c r="B47" s="148" t="s">
        <v>217</v>
      </c>
      <c r="C47" s="148" t="s">
        <v>133</v>
      </c>
      <c r="D47" s="148" t="s">
        <v>6</v>
      </c>
      <c r="E47" s="148" t="s">
        <v>218</v>
      </c>
      <c r="F47" s="148">
        <v>69.552164736008535</v>
      </c>
      <c r="G47" s="148" t="s">
        <v>219</v>
      </c>
      <c r="H47" s="148"/>
    </row>
    <row r="48" spans="1:8">
      <c r="A48" s="147">
        <v>2022</v>
      </c>
      <c r="B48" s="148" t="s">
        <v>217</v>
      </c>
      <c r="C48" s="148" t="s">
        <v>133</v>
      </c>
      <c r="D48" s="148" t="s">
        <v>6</v>
      </c>
      <c r="E48" s="148" t="s">
        <v>218</v>
      </c>
      <c r="F48" s="148">
        <v>74.411919993780927</v>
      </c>
      <c r="G48" s="148" t="s">
        <v>219</v>
      </c>
      <c r="H48" s="148"/>
    </row>
    <row r="49" spans="1:8">
      <c r="A49" s="147" t="s">
        <v>185</v>
      </c>
      <c r="B49" s="148" t="s">
        <v>217</v>
      </c>
      <c r="C49" s="148" t="s">
        <v>133</v>
      </c>
      <c r="D49" s="148" t="s">
        <v>6</v>
      </c>
      <c r="E49" s="148" t="s">
        <v>218</v>
      </c>
      <c r="F49" s="148">
        <v>79.162579478282808</v>
      </c>
      <c r="G49" s="148" t="s">
        <v>219</v>
      </c>
      <c r="H49" s="148"/>
    </row>
    <row r="50" spans="1:8">
      <c r="A50" s="147" t="s">
        <v>107</v>
      </c>
      <c r="B50" s="148" t="s">
        <v>217</v>
      </c>
      <c r="C50" s="148" t="s">
        <v>133</v>
      </c>
      <c r="D50" s="148" t="s">
        <v>6</v>
      </c>
      <c r="E50" s="148" t="s">
        <v>218</v>
      </c>
      <c r="F50" s="148">
        <v>91.535126949484962</v>
      </c>
      <c r="G50" s="148" t="s">
        <v>219</v>
      </c>
      <c r="H50" s="148"/>
    </row>
    <row r="51" spans="1:8">
      <c r="A51" s="147">
        <v>2018</v>
      </c>
      <c r="B51" s="148" t="s">
        <v>217</v>
      </c>
      <c r="C51" s="148" t="s">
        <v>133</v>
      </c>
      <c r="D51" s="148" t="s">
        <v>7</v>
      </c>
      <c r="E51" s="148" t="s">
        <v>218</v>
      </c>
      <c r="F51" s="148">
        <v>12.021573196877993</v>
      </c>
      <c r="G51" s="148" t="s">
        <v>219</v>
      </c>
      <c r="H51" s="148"/>
    </row>
    <row r="52" spans="1:8">
      <c r="A52" s="147">
        <v>2019</v>
      </c>
      <c r="B52" s="148" t="s">
        <v>217</v>
      </c>
      <c r="C52" s="148" t="s">
        <v>133</v>
      </c>
      <c r="D52" s="148" t="s">
        <v>7</v>
      </c>
      <c r="E52" s="148" t="s">
        <v>218</v>
      </c>
      <c r="F52" s="148">
        <v>11.31877238934644</v>
      </c>
      <c r="G52" s="148" t="s">
        <v>219</v>
      </c>
      <c r="H52" s="148"/>
    </row>
    <row r="53" spans="1:8">
      <c r="A53" s="147">
        <v>2020</v>
      </c>
      <c r="B53" s="148" t="s">
        <v>217</v>
      </c>
      <c r="C53" s="148" t="s">
        <v>133</v>
      </c>
      <c r="D53" s="148" t="s">
        <v>7</v>
      </c>
      <c r="E53" s="148" t="s">
        <v>218</v>
      </c>
      <c r="F53" s="148">
        <v>4.0936616003019859</v>
      </c>
      <c r="G53" s="148" t="s">
        <v>219</v>
      </c>
      <c r="H53" s="148"/>
    </row>
    <row r="54" spans="1:8">
      <c r="A54" s="147">
        <v>2021</v>
      </c>
      <c r="B54" s="148" t="s">
        <v>217</v>
      </c>
      <c r="C54" s="148" t="s">
        <v>133</v>
      </c>
      <c r="D54" s="148" t="s">
        <v>7</v>
      </c>
      <c r="E54" s="148" t="s">
        <v>218</v>
      </c>
      <c r="F54" s="148">
        <v>4.5883631669144389</v>
      </c>
      <c r="G54" s="148" t="s">
        <v>219</v>
      </c>
      <c r="H54" s="148"/>
    </row>
    <row r="55" spans="1:8">
      <c r="A55" s="147">
        <v>2022</v>
      </c>
      <c r="B55" s="148" t="s">
        <v>217</v>
      </c>
      <c r="C55" s="148" t="s">
        <v>133</v>
      </c>
      <c r="D55" s="148" t="s">
        <v>7</v>
      </c>
      <c r="E55" s="148" t="s">
        <v>218</v>
      </c>
      <c r="F55" s="148">
        <v>6.0910570827474944</v>
      </c>
      <c r="G55" s="148" t="s">
        <v>219</v>
      </c>
      <c r="H55" s="148"/>
    </row>
    <row r="56" spans="1:8">
      <c r="A56" s="147" t="s">
        <v>185</v>
      </c>
      <c r="B56" s="148" t="s">
        <v>217</v>
      </c>
      <c r="C56" s="148" t="s">
        <v>133</v>
      </c>
      <c r="D56" s="148" t="s">
        <v>7</v>
      </c>
      <c r="E56" s="148" t="s">
        <v>218</v>
      </c>
      <c r="F56" s="148">
        <v>6.7983630942788738</v>
      </c>
      <c r="G56" s="148" t="s">
        <v>219</v>
      </c>
      <c r="H56" s="148"/>
    </row>
    <row r="57" spans="1:8">
      <c r="A57" s="147" t="s">
        <v>107</v>
      </c>
      <c r="B57" s="148" t="s">
        <v>217</v>
      </c>
      <c r="C57" s="148" t="s">
        <v>133</v>
      </c>
      <c r="D57" s="148" t="s">
        <v>7</v>
      </c>
      <c r="E57" s="148" t="s">
        <v>218</v>
      </c>
      <c r="F57" s="148">
        <v>7.4103774652264551</v>
      </c>
      <c r="G57" s="148" t="s">
        <v>219</v>
      </c>
      <c r="H57" s="148"/>
    </row>
    <row r="58" spans="1:8">
      <c r="A58" s="147">
        <v>2018</v>
      </c>
      <c r="B58" s="148" t="s">
        <v>217</v>
      </c>
      <c r="C58" s="148" t="s">
        <v>133</v>
      </c>
      <c r="D58" s="148" t="s">
        <v>8</v>
      </c>
      <c r="E58" s="148" t="s">
        <v>218</v>
      </c>
      <c r="F58" s="148">
        <v>65.211969253007013</v>
      </c>
      <c r="G58" s="148" t="s">
        <v>219</v>
      </c>
      <c r="H58" s="148"/>
    </row>
    <row r="59" spans="1:8">
      <c r="A59" s="147">
        <v>2019</v>
      </c>
      <c r="B59" s="148" t="s">
        <v>217</v>
      </c>
      <c r="C59" s="148" t="s">
        <v>133</v>
      </c>
      <c r="D59" s="148" t="s">
        <v>8</v>
      </c>
      <c r="E59" s="148" t="s">
        <v>218</v>
      </c>
      <c r="F59" s="148">
        <v>66.224588831773843</v>
      </c>
      <c r="G59" s="148" t="s">
        <v>219</v>
      </c>
      <c r="H59" s="148"/>
    </row>
    <row r="60" spans="1:8">
      <c r="A60" s="147">
        <v>2020</v>
      </c>
      <c r="B60" s="148" t="s">
        <v>217</v>
      </c>
      <c r="C60" s="148" t="s">
        <v>133</v>
      </c>
      <c r="D60" s="148" t="s">
        <v>8</v>
      </c>
      <c r="E60" s="148" t="s">
        <v>218</v>
      </c>
      <c r="F60" s="148">
        <v>66.713906630521819</v>
      </c>
      <c r="G60" s="148" t="s">
        <v>219</v>
      </c>
      <c r="H60" s="148"/>
    </row>
    <row r="61" spans="1:8">
      <c r="A61" s="147">
        <v>2021</v>
      </c>
      <c r="B61" s="148" t="s">
        <v>217</v>
      </c>
      <c r="C61" s="148" t="s">
        <v>133</v>
      </c>
      <c r="D61" s="148" t="s">
        <v>8</v>
      </c>
      <c r="E61" s="148" t="s">
        <v>218</v>
      </c>
      <c r="F61" s="148">
        <v>73.201594334924124</v>
      </c>
      <c r="G61" s="148" t="s">
        <v>219</v>
      </c>
      <c r="H61" s="148"/>
    </row>
    <row r="62" spans="1:8">
      <c r="A62" s="147">
        <v>2022</v>
      </c>
      <c r="B62" s="148" t="s">
        <v>217</v>
      </c>
      <c r="C62" s="148" t="s">
        <v>133</v>
      </c>
      <c r="D62" s="148" t="s">
        <v>8</v>
      </c>
      <c r="E62" s="148" t="s">
        <v>218</v>
      </c>
      <c r="F62" s="148">
        <v>73.423921063261844</v>
      </c>
      <c r="G62" s="148" t="s">
        <v>219</v>
      </c>
      <c r="H62" s="148"/>
    </row>
    <row r="63" spans="1:8">
      <c r="A63" s="147" t="s">
        <v>185</v>
      </c>
      <c r="B63" s="148" t="s">
        <v>217</v>
      </c>
      <c r="C63" s="148" t="s">
        <v>133</v>
      </c>
      <c r="D63" s="148" t="s">
        <v>8</v>
      </c>
      <c r="E63" s="148" t="s">
        <v>218</v>
      </c>
      <c r="F63" s="148">
        <v>79.906085361067468</v>
      </c>
      <c r="G63" s="148" t="s">
        <v>219</v>
      </c>
      <c r="H63" s="148"/>
    </row>
    <row r="64" spans="1:8">
      <c r="A64" s="147" t="s">
        <v>107</v>
      </c>
      <c r="B64" s="148" t="s">
        <v>217</v>
      </c>
      <c r="C64" s="148" t="s">
        <v>133</v>
      </c>
      <c r="D64" s="148" t="s">
        <v>8</v>
      </c>
      <c r="E64" s="148" t="s">
        <v>218</v>
      </c>
      <c r="F64" s="148">
        <v>86.05397584969225</v>
      </c>
      <c r="G64" s="148" t="s">
        <v>219</v>
      </c>
      <c r="H64" s="148"/>
    </row>
    <row r="65" spans="1:8">
      <c r="A65" s="147">
        <v>2018</v>
      </c>
      <c r="B65" s="148" t="s">
        <v>217</v>
      </c>
      <c r="C65" s="148" t="s">
        <v>133</v>
      </c>
      <c r="D65" s="148" t="s">
        <v>9</v>
      </c>
      <c r="E65" s="148" t="s">
        <v>218</v>
      </c>
      <c r="F65" s="148">
        <v>14.327990645623153</v>
      </c>
      <c r="G65" s="148" t="s">
        <v>219</v>
      </c>
      <c r="H65" s="148"/>
    </row>
    <row r="66" spans="1:8">
      <c r="A66" s="147">
        <v>2019</v>
      </c>
      <c r="B66" s="148" t="s">
        <v>217</v>
      </c>
      <c r="C66" s="148" t="s">
        <v>133</v>
      </c>
      <c r="D66" s="148" t="s">
        <v>9</v>
      </c>
      <c r="E66" s="148" t="s">
        <v>218</v>
      </c>
      <c r="F66" s="148">
        <v>15.12284304062476</v>
      </c>
      <c r="G66" s="148" t="s">
        <v>219</v>
      </c>
      <c r="H66" s="148"/>
    </row>
    <row r="67" spans="1:8">
      <c r="A67" s="147">
        <v>2020</v>
      </c>
      <c r="B67" s="148" t="s">
        <v>217</v>
      </c>
      <c r="C67" s="148" t="s">
        <v>133</v>
      </c>
      <c r="D67" s="148" t="s">
        <v>9</v>
      </c>
      <c r="E67" s="148" t="s">
        <v>218</v>
      </c>
      <c r="F67" s="148">
        <v>14.561426310754268</v>
      </c>
      <c r="G67" s="148" t="s">
        <v>219</v>
      </c>
      <c r="H67" s="148"/>
    </row>
    <row r="68" spans="1:8">
      <c r="A68" s="147">
        <v>2021</v>
      </c>
      <c r="B68" s="148" t="s">
        <v>217</v>
      </c>
      <c r="C68" s="148" t="s">
        <v>133</v>
      </c>
      <c r="D68" s="148" t="s">
        <v>9</v>
      </c>
      <c r="E68" s="148" t="s">
        <v>218</v>
      </c>
      <c r="F68" s="148">
        <v>16.312331326434478</v>
      </c>
      <c r="G68" s="148" t="s">
        <v>219</v>
      </c>
      <c r="H68" s="148"/>
    </row>
    <row r="69" spans="1:8">
      <c r="A69" s="147">
        <v>2022</v>
      </c>
      <c r="B69" s="148" t="s">
        <v>217</v>
      </c>
      <c r="C69" s="148" t="s">
        <v>133</v>
      </c>
      <c r="D69" s="148" t="s">
        <v>9</v>
      </c>
      <c r="E69" s="148" t="s">
        <v>218</v>
      </c>
      <c r="F69" s="148">
        <v>17.988168370656034</v>
      </c>
      <c r="G69" s="148" t="s">
        <v>219</v>
      </c>
      <c r="H69" s="148"/>
    </row>
    <row r="70" spans="1:8">
      <c r="A70" s="147" t="s">
        <v>185</v>
      </c>
      <c r="B70" s="148" t="s">
        <v>217</v>
      </c>
      <c r="C70" s="148" t="s">
        <v>133</v>
      </c>
      <c r="D70" s="148" t="s">
        <v>9</v>
      </c>
      <c r="E70" s="148" t="s">
        <v>218</v>
      </c>
      <c r="F70" s="148">
        <v>17.559143514623763</v>
      </c>
      <c r="G70" s="148" t="s">
        <v>219</v>
      </c>
      <c r="H70" s="148"/>
    </row>
    <row r="71" spans="1:8">
      <c r="A71" s="147" t="s">
        <v>107</v>
      </c>
      <c r="B71" s="148" t="s">
        <v>217</v>
      </c>
      <c r="C71" s="148" t="s">
        <v>133</v>
      </c>
      <c r="D71" s="148" t="s">
        <v>9</v>
      </c>
      <c r="E71" s="148" t="s">
        <v>218</v>
      </c>
      <c r="F71" s="148">
        <v>18.484816126223869</v>
      </c>
      <c r="G71" s="148" t="s">
        <v>219</v>
      </c>
      <c r="H71" s="148"/>
    </row>
    <row r="72" spans="1:8">
      <c r="A72" s="147">
        <v>2018</v>
      </c>
      <c r="B72" s="148" t="s">
        <v>217</v>
      </c>
      <c r="C72" s="148" t="s">
        <v>133</v>
      </c>
      <c r="D72" s="148" t="s">
        <v>70</v>
      </c>
      <c r="E72" s="148" t="s">
        <v>218</v>
      </c>
      <c r="F72" s="148">
        <v>78.65631979023415</v>
      </c>
      <c r="G72" s="148" t="s">
        <v>219</v>
      </c>
      <c r="H72" s="148"/>
    </row>
    <row r="73" spans="1:8">
      <c r="A73" s="147">
        <v>2019</v>
      </c>
      <c r="B73" s="148" t="s">
        <v>217</v>
      </c>
      <c r="C73" s="148" t="s">
        <v>133</v>
      </c>
      <c r="D73" s="148" t="s">
        <v>70</v>
      </c>
      <c r="E73" s="148" t="s">
        <v>218</v>
      </c>
      <c r="F73" s="148">
        <v>96.065179393088826</v>
      </c>
      <c r="G73" s="148" t="s">
        <v>219</v>
      </c>
      <c r="H73" s="148"/>
    </row>
    <row r="74" spans="1:8">
      <c r="A74" s="147">
        <v>2020</v>
      </c>
      <c r="B74" s="148" t="s">
        <v>217</v>
      </c>
      <c r="C74" s="148" t="s">
        <v>133</v>
      </c>
      <c r="D74" s="148" t="s">
        <v>70</v>
      </c>
      <c r="E74" s="148" t="s">
        <v>218</v>
      </c>
      <c r="F74" s="148">
        <v>84.490897021493069</v>
      </c>
      <c r="G74" s="148" t="s">
        <v>219</v>
      </c>
      <c r="H74" s="148"/>
    </row>
    <row r="75" spans="1:8">
      <c r="A75" s="147">
        <v>2021</v>
      </c>
      <c r="B75" s="148" t="s">
        <v>217</v>
      </c>
      <c r="C75" s="148" t="s">
        <v>133</v>
      </c>
      <c r="D75" s="148" t="s">
        <v>70</v>
      </c>
      <c r="E75" s="148" t="s">
        <v>218</v>
      </c>
      <c r="F75" s="148">
        <v>74.635211923517431</v>
      </c>
      <c r="G75" s="148" t="s">
        <v>219</v>
      </c>
      <c r="H75" s="148"/>
    </row>
    <row r="76" spans="1:8">
      <c r="A76" s="147">
        <v>2022</v>
      </c>
      <c r="B76" s="148" t="s">
        <v>217</v>
      </c>
      <c r="C76" s="148" t="s">
        <v>133</v>
      </c>
      <c r="D76" s="148" t="s">
        <v>70</v>
      </c>
      <c r="E76" s="148" t="s">
        <v>218</v>
      </c>
      <c r="F76" s="148">
        <v>106.0975586025279</v>
      </c>
      <c r="G76" s="148" t="s">
        <v>219</v>
      </c>
      <c r="H76" s="148"/>
    </row>
    <row r="77" spans="1:8">
      <c r="A77" s="147" t="s">
        <v>185</v>
      </c>
      <c r="B77" s="148" t="s">
        <v>217</v>
      </c>
      <c r="C77" s="148" t="s">
        <v>133</v>
      </c>
      <c r="D77" s="148" t="s">
        <v>70</v>
      </c>
      <c r="E77" s="148" t="s">
        <v>218</v>
      </c>
      <c r="F77" s="148">
        <v>117.85218212419602</v>
      </c>
      <c r="G77" s="148" t="s">
        <v>219</v>
      </c>
      <c r="H77" s="148"/>
    </row>
    <row r="78" spans="1:8">
      <c r="A78" s="147" t="s">
        <v>107</v>
      </c>
      <c r="B78" s="148" t="s">
        <v>217</v>
      </c>
      <c r="C78" s="148" t="s">
        <v>133</v>
      </c>
      <c r="D78" s="148" t="s">
        <v>70</v>
      </c>
      <c r="E78" s="148" t="s">
        <v>218</v>
      </c>
      <c r="F78" s="148">
        <v>120.50522603314057</v>
      </c>
      <c r="G78" s="148" t="s">
        <v>219</v>
      </c>
      <c r="H78" s="148"/>
    </row>
    <row r="79" spans="1:8">
      <c r="A79" s="147">
        <v>2018</v>
      </c>
      <c r="B79" s="147" t="s">
        <v>217</v>
      </c>
      <c r="C79" s="148" t="s">
        <v>133</v>
      </c>
      <c r="D79" s="147" t="s">
        <v>10</v>
      </c>
      <c r="E79" s="147" t="s">
        <v>218</v>
      </c>
      <c r="F79" s="149">
        <v>0.56547382790381884</v>
      </c>
      <c r="G79" s="148" t="s">
        <v>219</v>
      </c>
    </row>
    <row r="80" spans="1:8">
      <c r="A80" s="147">
        <v>2019</v>
      </c>
      <c r="B80" s="147" t="s">
        <v>217</v>
      </c>
      <c r="C80" s="148" t="s">
        <v>133</v>
      </c>
      <c r="D80" s="147" t="s">
        <v>10</v>
      </c>
      <c r="E80" s="147" t="s">
        <v>218</v>
      </c>
      <c r="F80" s="149">
        <v>0.965298432860353</v>
      </c>
      <c r="G80" s="148" t="s">
        <v>219</v>
      </c>
    </row>
    <row r="81" spans="1:7">
      <c r="A81" s="147">
        <v>2020</v>
      </c>
      <c r="B81" s="147" t="s">
        <v>217</v>
      </c>
      <c r="C81" s="148" t="s">
        <v>133</v>
      </c>
      <c r="D81" s="147" t="s">
        <v>10</v>
      </c>
      <c r="E81" s="147" t="s">
        <v>218</v>
      </c>
      <c r="F81" s="149">
        <v>0.47018581327009279</v>
      </c>
      <c r="G81" s="148" t="s">
        <v>219</v>
      </c>
    </row>
    <row r="82" spans="1:7">
      <c r="A82" s="147">
        <v>2021</v>
      </c>
      <c r="B82" s="147" t="s">
        <v>217</v>
      </c>
      <c r="C82" s="148" t="s">
        <v>133</v>
      </c>
      <c r="D82" s="147" t="s">
        <v>10</v>
      </c>
      <c r="E82" s="147" t="s">
        <v>218</v>
      </c>
      <c r="F82" s="149">
        <v>0.58985138883419308</v>
      </c>
      <c r="G82" s="148" t="s">
        <v>219</v>
      </c>
    </row>
    <row r="83" spans="1:7">
      <c r="A83" s="147">
        <v>2022</v>
      </c>
      <c r="B83" s="147" t="s">
        <v>217</v>
      </c>
      <c r="C83" s="148" t="s">
        <v>133</v>
      </c>
      <c r="D83" s="147" t="s">
        <v>10</v>
      </c>
      <c r="E83" s="147" t="s">
        <v>218</v>
      </c>
      <c r="F83" s="149">
        <v>0.75615003812611947</v>
      </c>
      <c r="G83" s="148" t="s">
        <v>219</v>
      </c>
    </row>
    <row r="84" spans="1:7">
      <c r="A84" s="147" t="s">
        <v>185</v>
      </c>
      <c r="B84" s="147" t="s">
        <v>217</v>
      </c>
      <c r="C84" s="148" t="s">
        <v>133</v>
      </c>
      <c r="D84" s="147" t="s">
        <v>10</v>
      </c>
      <c r="E84" s="147" t="s">
        <v>218</v>
      </c>
      <c r="F84" s="149">
        <v>0.83068659370697728</v>
      </c>
      <c r="G84" s="148" t="s">
        <v>219</v>
      </c>
    </row>
    <row r="85" spans="1:7">
      <c r="A85" s="147" t="s">
        <v>107</v>
      </c>
      <c r="B85" s="147" t="s">
        <v>217</v>
      </c>
      <c r="C85" s="148" t="s">
        <v>133</v>
      </c>
      <c r="D85" s="147" t="s">
        <v>10</v>
      </c>
      <c r="E85" s="147" t="s">
        <v>218</v>
      </c>
      <c r="F85" s="149">
        <v>0.79467650318649674</v>
      </c>
      <c r="G85" s="148" t="s">
        <v>219</v>
      </c>
    </row>
    <row r="86" spans="1:7">
      <c r="A86" s="147">
        <v>2018</v>
      </c>
      <c r="B86" s="147" t="s">
        <v>217</v>
      </c>
      <c r="C86" s="148" t="s">
        <v>133</v>
      </c>
      <c r="D86" s="147" t="s">
        <v>59</v>
      </c>
      <c r="E86" s="147" t="s">
        <v>218</v>
      </c>
      <c r="F86" s="149">
        <v>3.3368928139877317E-2</v>
      </c>
      <c r="G86" s="148" t="s">
        <v>219</v>
      </c>
    </row>
    <row r="87" spans="1:7">
      <c r="A87" s="147">
        <v>2019</v>
      </c>
      <c r="B87" s="147" t="s">
        <v>217</v>
      </c>
      <c r="C87" s="148" t="s">
        <v>133</v>
      </c>
      <c r="D87" s="147" t="s">
        <v>59</v>
      </c>
      <c r="E87" s="147" t="s">
        <v>218</v>
      </c>
      <c r="F87" s="149">
        <v>5.2777492473069516E-2</v>
      </c>
      <c r="G87" s="148" t="s">
        <v>219</v>
      </c>
    </row>
    <row r="88" spans="1:7">
      <c r="A88" s="147">
        <v>2020</v>
      </c>
      <c r="B88" s="147" t="s">
        <v>217</v>
      </c>
      <c r="C88" s="148" t="s">
        <v>133</v>
      </c>
      <c r="D88" s="147" t="s">
        <v>59</v>
      </c>
      <c r="E88" s="147" t="s">
        <v>218</v>
      </c>
      <c r="F88" s="149">
        <v>5.4926737877217906E-2</v>
      </c>
      <c r="G88" s="148" t="s">
        <v>219</v>
      </c>
    </row>
    <row r="89" spans="1:7">
      <c r="A89" s="147">
        <v>2021</v>
      </c>
      <c r="B89" s="147" t="s">
        <v>217</v>
      </c>
      <c r="C89" s="148" t="s">
        <v>133</v>
      </c>
      <c r="D89" s="147" t="s">
        <v>59</v>
      </c>
      <c r="E89" s="147" t="s">
        <v>218</v>
      </c>
      <c r="F89" s="149">
        <v>5.1818483750439015E-2</v>
      </c>
      <c r="G89" s="148" t="s">
        <v>219</v>
      </c>
    </row>
    <row r="90" spans="1:7">
      <c r="A90" s="147">
        <v>2022</v>
      </c>
      <c r="B90" s="147" t="s">
        <v>217</v>
      </c>
      <c r="C90" s="148" t="s">
        <v>133</v>
      </c>
      <c r="D90" s="147" t="s">
        <v>59</v>
      </c>
      <c r="E90" s="147" t="s">
        <v>218</v>
      </c>
      <c r="F90" s="149">
        <v>6.390971087972358E-2</v>
      </c>
      <c r="G90" s="148" t="s">
        <v>219</v>
      </c>
    </row>
    <row r="91" spans="1:7">
      <c r="A91" s="147" t="s">
        <v>185</v>
      </c>
      <c r="B91" s="147" t="s">
        <v>217</v>
      </c>
      <c r="C91" s="148" t="s">
        <v>133</v>
      </c>
      <c r="D91" s="147" t="s">
        <v>59</v>
      </c>
      <c r="E91" s="147" t="s">
        <v>218</v>
      </c>
      <c r="F91" s="149">
        <v>6.7147507764392975E-2</v>
      </c>
      <c r="G91" s="148" t="s">
        <v>219</v>
      </c>
    </row>
    <row r="92" spans="1:7">
      <c r="A92" s="147" t="s">
        <v>107</v>
      </c>
      <c r="B92" s="147" t="s">
        <v>217</v>
      </c>
      <c r="C92" s="148" t="s">
        <v>133</v>
      </c>
      <c r="D92" s="147" t="s">
        <v>59</v>
      </c>
      <c r="E92" s="147" t="s">
        <v>218</v>
      </c>
      <c r="F92" s="149">
        <v>7.0872795835514604E-2</v>
      </c>
      <c r="G92" s="148" t="s">
        <v>219</v>
      </c>
    </row>
    <row r="93" spans="1:7">
      <c r="A93" s="147">
        <v>2018</v>
      </c>
      <c r="B93" s="147" t="s">
        <v>217</v>
      </c>
      <c r="C93" s="148" t="s">
        <v>133</v>
      </c>
      <c r="D93" s="147" t="s">
        <v>66</v>
      </c>
      <c r="E93" s="147" t="s">
        <v>218</v>
      </c>
      <c r="F93" s="149">
        <v>1.5189522919460241</v>
      </c>
      <c r="G93" s="148" t="s">
        <v>219</v>
      </c>
    </row>
    <row r="94" spans="1:7">
      <c r="A94" s="147">
        <v>2019</v>
      </c>
      <c r="B94" s="147" t="s">
        <v>217</v>
      </c>
      <c r="C94" s="148" t="s">
        <v>133</v>
      </c>
      <c r="D94" s="147" t="s">
        <v>66</v>
      </c>
      <c r="E94" s="147" t="s">
        <v>218</v>
      </c>
      <c r="F94" s="149">
        <v>1.4011440929424821</v>
      </c>
      <c r="G94" s="148" t="s">
        <v>219</v>
      </c>
    </row>
    <row r="95" spans="1:7">
      <c r="A95" s="147">
        <v>2020</v>
      </c>
      <c r="B95" s="147" t="s">
        <v>217</v>
      </c>
      <c r="C95" s="148" t="s">
        <v>133</v>
      </c>
      <c r="D95" s="147" t="s">
        <v>66</v>
      </c>
      <c r="E95" s="147" t="s">
        <v>218</v>
      </c>
      <c r="F95" s="149">
        <v>0.91408653810031015</v>
      </c>
      <c r="G95" s="148" t="s">
        <v>219</v>
      </c>
    </row>
    <row r="96" spans="1:7">
      <c r="A96" s="147">
        <v>2021</v>
      </c>
      <c r="B96" s="147" t="s">
        <v>217</v>
      </c>
      <c r="C96" s="148" t="s">
        <v>133</v>
      </c>
      <c r="D96" s="147" t="s">
        <v>66</v>
      </c>
      <c r="E96" s="147" t="s">
        <v>218</v>
      </c>
      <c r="F96" s="149">
        <v>0.85553684870108526</v>
      </c>
      <c r="G96" s="148" t="s">
        <v>219</v>
      </c>
    </row>
    <row r="97" spans="1:7">
      <c r="A97" s="147">
        <v>2022</v>
      </c>
      <c r="B97" s="147" t="s">
        <v>217</v>
      </c>
      <c r="C97" s="148" t="s">
        <v>133</v>
      </c>
      <c r="D97" s="147" t="s">
        <v>66</v>
      </c>
      <c r="E97" s="147" t="s">
        <v>218</v>
      </c>
      <c r="F97" s="149">
        <v>0.86858777929301001</v>
      </c>
      <c r="G97" s="148" t="s">
        <v>219</v>
      </c>
    </row>
    <row r="98" spans="1:7">
      <c r="A98" s="147" t="s">
        <v>185</v>
      </c>
      <c r="B98" s="147" t="s">
        <v>217</v>
      </c>
      <c r="C98" s="148" t="s">
        <v>133</v>
      </c>
      <c r="D98" s="147" t="s">
        <v>66</v>
      </c>
      <c r="E98" s="147" t="s">
        <v>218</v>
      </c>
      <c r="F98" s="149">
        <v>0.90182126610380675</v>
      </c>
      <c r="G98" s="148" t="s">
        <v>219</v>
      </c>
    </row>
    <row r="99" spans="1:7">
      <c r="A99" s="147" t="s">
        <v>107</v>
      </c>
      <c r="B99" s="147" t="s">
        <v>217</v>
      </c>
      <c r="C99" s="148" t="s">
        <v>133</v>
      </c>
      <c r="D99" s="147" t="s">
        <v>66</v>
      </c>
      <c r="E99" s="147" t="s">
        <v>218</v>
      </c>
      <c r="F99" s="149">
        <v>0.94160471126088996</v>
      </c>
      <c r="G99" s="148" t="s">
        <v>219</v>
      </c>
    </row>
    <row r="100" spans="1:7">
      <c r="A100" s="147">
        <v>2018</v>
      </c>
      <c r="B100" s="147" t="s">
        <v>217</v>
      </c>
      <c r="C100" s="148" t="s">
        <v>133</v>
      </c>
      <c r="D100" s="147" t="s">
        <v>61</v>
      </c>
      <c r="E100" s="147" t="s">
        <v>218</v>
      </c>
      <c r="F100" s="149">
        <v>9.3852146871353685</v>
      </c>
      <c r="G100" s="148" t="s">
        <v>219</v>
      </c>
    </row>
    <row r="101" spans="1:7">
      <c r="A101" s="147">
        <v>2019</v>
      </c>
      <c r="B101" s="147" t="s">
        <v>217</v>
      </c>
      <c r="C101" s="148" t="s">
        <v>133</v>
      </c>
      <c r="D101" s="147" t="s">
        <v>61</v>
      </c>
      <c r="E101" s="147" t="s">
        <v>218</v>
      </c>
      <c r="F101" s="149">
        <v>9.0651713239269363</v>
      </c>
      <c r="G101" s="148" t="s">
        <v>219</v>
      </c>
    </row>
    <row r="102" spans="1:7">
      <c r="A102" s="147">
        <v>2020</v>
      </c>
      <c r="B102" s="147" t="s">
        <v>217</v>
      </c>
      <c r="C102" s="148" t="s">
        <v>133</v>
      </c>
      <c r="D102" s="147" t="s">
        <v>61</v>
      </c>
      <c r="E102" s="147" t="s">
        <v>218</v>
      </c>
      <c r="F102" s="149">
        <v>7.284162095897706</v>
      </c>
      <c r="G102" s="148" t="s">
        <v>219</v>
      </c>
    </row>
    <row r="103" spans="1:7">
      <c r="A103" s="147">
        <v>2021</v>
      </c>
      <c r="B103" s="147" t="s">
        <v>217</v>
      </c>
      <c r="C103" s="148" t="s">
        <v>133</v>
      </c>
      <c r="D103" s="147" t="s">
        <v>61</v>
      </c>
      <c r="E103" s="147" t="s">
        <v>218</v>
      </c>
      <c r="F103" s="149">
        <v>6.4283853118169398</v>
      </c>
      <c r="G103" s="148" t="s">
        <v>219</v>
      </c>
    </row>
    <row r="104" spans="1:7">
      <c r="A104" s="147">
        <v>2022</v>
      </c>
      <c r="B104" s="147" t="s">
        <v>217</v>
      </c>
      <c r="C104" s="148" t="s">
        <v>133</v>
      </c>
      <c r="D104" s="147" t="s">
        <v>61</v>
      </c>
      <c r="E104" s="147" t="s">
        <v>218</v>
      </c>
      <c r="F104" s="149">
        <v>8.2217964661010452</v>
      </c>
      <c r="G104" s="148" t="s">
        <v>219</v>
      </c>
    </row>
    <row r="105" spans="1:7">
      <c r="A105" s="147" t="s">
        <v>185</v>
      </c>
      <c r="B105" s="147" t="s">
        <v>217</v>
      </c>
      <c r="C105" s="148" t="s">
        <v>133</v>
      </c>
      <c r="D105" s="147" t="s">
        <v>61</v>
      </c>
      <c r="E105" s="147" t="s">
        <v>218</v>
      </c>
      <c r="F105" s="149">
        <v>10.215430197180531</v>
      </c>
      <c r="G105" s="148" t="s">
        <v>219</v>
      </c>
    </row>
    <row r="106" spans="1:7">
      <c r="A106" s="147" t="s">
        <v>107</v>
      </c>
      <c r="B106" s="147" t="s">
        <v>217</v>
      </c>
      <c r="C106" s="148" t="s">
        <v>133</v>
      </c>
      <c r="D106" s="147" t="s">
        <v>61</v>
      </c>
      <c r="E106" s="147" t="s">
        <v>218</v>
      </c>
      <c r="F106" s="149">
        <v>11.155466911317298</v>
      </c>
      <c r="G106" s="148" t="s">
        <v>219</v>
      </c>
    </row>
    <row r="107" spans="1:7">
      <c r="A107" s="147">
        <v>2018</v>
      </c>
      <c r="B107" s="147" t="s">
        <v>220</v>
      </c>
      <c r="C107" s="148" t="s">
        <v>133</v>
      </c>
      <c r="D107" s="147" t="s">
        <v>221</v>
      </c>
      <c r="E107" s="147" t="s">
        <v>218</v>
      </c>
      <c r="F107" s="149">
        <v>203.02736421489206</v>
      </c>
      <c r="G107" s="148" t="s">
        <v>219</v>
      </c>
    </row>
    <row r="108" spans="1:7">
      <c r="A108" s="147">
        <v>2019</v>
      </c>
      <c r="B108" s="147" t="s">
        <v>220</v>
      </c>
      <c r="C108" s="148" t="s">
        <v>133</v>
      </c>
      <c r="D108" s="147" t="s">
        <v>221</v>
      </c>
      <c r="E108" s="147" t="s">
        <v>218</v>
      </c>
      <c r="F108" s="149">
        <v>215.54629363040058</v>
      </c>
      <c r="G108" s="148" t="s">
        <v>219</v>
      </c>
    </row>
    <row r="109" spans="1:7">
      <c r="A109" s="147">
        <v>2020</v>
      </c>
      <c r="B109" s="147" t="s">
        <v>220</v>
      </c>
      <c r="C109" s="148" t="s">
        <v>133</v>
      </c>
      <c r="D109" s="147" t="s">
        <v>221</v>
      </c>
      <c r="E109" s="147" t="s">
        <v>218</v>
      </c>
      <c r="F109" s="149">
        <v>252.98695885545726</v>
      </c>
      <c r="G109" s="148" t="s">
        <v>219</v>
      </c>
    </row>
    <row r="110" spans="1:7">
      <c r="A110" s="147">
        <v>2021</v>
      </c>
      <c r="B110" s="147" t="s">
        <v>220</v>
      </c>
      <c r="C110" s="148" t="s">
        <v>133</v>
      </c>
      <c r="D110" s="147" t="s">
        <v>221</v>
      </c>
      <c r="E110" s="147" t="s">
        <v>218</v>
      </c>
      <c r="F110" s="149">
        <v>282.56268231809702</v>
      </c>
      <c r="G110" s="148" t="s">
        <v>219</v>
      </c>
    </row>
    <row r="111" spans="1:7">
      <c r="A111" s="147">
        <v>2022</v>
      </c>
      <c r="B111" s="147" t="s">
        <v>220</v>
      </c>
      <c r="C111" s="148" t="s">
        <v>133</v>
      </c>
      <c r="D111" s="147" t="s">
        <v>221</v>
      </c>
      <c r="E111" s="147" t="s">
        <v>218</v>
      </c>
      <c r="F111" s="149">
        <v>275.93080411648606</v>
      </c>
      <c r="G111" s="148" t="s">
        <v>219</v>
      </c>
    </row>
    <row r="112" spans="1:7">
      <c r="A112" s="147" t="s">
        <v>185</v>
      </c>
      <c r="B112" s="147" t="s">
        <v>220</v>
      </c>
      <c r="C112" s="148" t="s">
        <v>133</v>
      </c>
      <c r="D112" s="147" t="s">
        <v>221</v>
      </c>
      <c r="E112" s="147" t="s">
        <v>218</v>
      </c>
      <c r="F112" s="149">
        <v>305.76332712887631</v>
      </c>
      <c r="G112" s="148" t="s">
        <v>219</v>
      </c>
    </row>
    <row r="113" spans="1:7">
      <c r="A113" s="147" t="s">
        <v>107</v>
      </c>
      <c r="B113" s="147" t="s">
        <v>220</v>
      </c>
      <c r="C113" s="148" t="s">
        <v>133</v>
      </c>
      <c r="D113" s="147" t="s">
        <v>221</v>
      </c>
      <c r="E113" s="147" t="s">
        <v>218</v>
      </c>
      <c r="F113" s="149">
        <v>308.58884753304255</v>
      </c>
      <c r="G113" s="148" t="s">
        <v>219</v>
      </c>
    </row>
    <row r="114" spans="1:7">
      <c r="A114" s="147">
        <v>2018</v>
      </c>
      <c r="B114" s="147" t="s">
        <v>222</v>
      </c>
      <c r="C114" s="148" t="s">
        <v>133</v>
      </c>
      <c r="D114" s="147" t="s">
        <v>148</v>
      </c>
      <c r="E114" s="147" t="s">
        <v>218</v>
      </c>
      <c r="F114" s="149">
        <v>831.43955295263549</v>
      </c>
      <c r="G114" s="148" t="s">
        <v>219</v>
      </c>
    </row>
    <row r="115" spans="1:7">
      <c r="A115" s="147">
        <v>2019</v>
      </c>
      <c r="B115" s="147" t="s">
        <v>222</v>
      </c>
      <c r="C115" s="148" t="s">
        <v>133</v>
      </c>
      <c r="D115" s="147" t="s">
        <v>148</v>
      </c>
      <c r="E115" s="147" t="s">
        <v>218</v>
      </c>
      <c r="F115" s="149">
        <v>842.22500946363073</v>
      </c>
      <c r="G115" s="148" t="s">
        <v>219</v>
      </c>
    </row>
    <row r="116" spans="1:7">
      <c r="A116" s="147">
        <v>2020</v>
      </c>
      <c r="B116" s="147" t="s">
        <v>222</v>
      </c>
      <c r="C116" s="148" t="s">
        <v>133</v>
      </c>
      <c r="D116" s="147" t="s">
        <v>148</v>
      </c>
      <c r="E116" s="147" t="s">
        <v>218</v>
      </c>
      <c r="F116" s="149">
        <v>915.26333130211844</v>
      </c>
      <c r="G116" s="148" t="s">
        <v>219</v>
      </c>
    </row>
    <row r="117" spans="1:7">
      <c r="A117" s="147">
        <v>2021</v>
      </c>
      <c r="B117" s="147" t="s">
        <v>222</v>
      </c>
      <c r="C117" s="148" t="s">
        <v>133</v>
      </c>
      <c r="D117" s="147" t="s">
        <v>148</v>
      </c>
      <c r="E117" s="147" t="s">
        <v>218</v>
      </c>
      <c r="F117" s="149">
        <v>1044.2253742652813</v>
      </c>
      <c r="G117" s="148" t="s">
        <v>219</v>
      </c>
    </row>
    <row r="118" spans="1:7">
      <c r="A118" s="147">
        <v>2022</v>
      </c>
      <c r="B118" s="147" t="s">
        <v>222</v>
      </c>
      <c r="C118" s="148" t="s">
        <v>133</v>
      </c>
      <c r="D118" s="147" t="s">
        <v>148</v>
      </c>
      <c r="E118" s="147" t="s">
        <v>218</v>
      </c>
      <c r="F118" s="149">
        <v>1058.4630240620413</v>
      </c>
      <c r="G118" s="148" t="s">
        <v>219</v>
      </c>
    </row>
    <row r="119" spans="1:7">
      <c r="A119" s="147" t="s">
        <v>185</v>
      </c>
      <c r="B119" s="147" t="s">
        <v>222</v>
      </c>
      <c r="C119" s="148" t="s">
        <v>133</v>
      </c>
      <c r="D119" s="147" t="s">
        <v>148</v>
      </c>
      <c r="E119" s="147" t="s">
        <v>218</v>
      </c>
      <c r="F119" s="149">
        <v>1083.8998810955923</v>
      </c>
      <c r="G119" s="148" t="s">
        <v>219</v>
      </c>
    </row>
    <row r="120" spans="1:7">
      <c r="A120" s="147" t="s">
        <v>107</v>
      </c>
      <c r="B120" s="147" t="s">
        <v>222</v>
      </c>
      <c r="C120" s="148" t="s">
        <v>133</v>
      </c>
      <c r="D120" s="147" t="s">
        <v>148</v>
      </c>
      <c r="E120" s="147" t="s">
        <v>218</v>
      </c>
      <c r="F120" s="149">
        <v>1150.8328891222145</v>
      </c>
      <c r="G120" s="148" t="s">
        <v>219</v>
      </c>
    </row>
    <row r="121" spans="1:7">
      <c r="A121" s="147">
        <v>2018</v>
      </c>
      <c r="B121" s="147" t="s">
        <v>223</v>
      </c>
      <c r="C121" s="148" t="s">
        <v>133</v>
      </c>
      <c r="D121" s="147" t="s">
        <v>149</v>
      </c>
      <c r="E121" s="147" t="s">
        <v>218</v>
      </c>
      <c r="F121" s="149">
        <v>36.656101996321922</v>
      </c>
      <c r="G121" s="148" t="s">
        <v>219</v>
      </c>
    </row>
    <row r="122" spans="1:7">
      <c r="A122" s="147">
        <v>2019</v>
      </c>
      <c r="B122" s="147" t="s">
        <v>223</v>
      </c>
      <c r="C122" s="148" t="s">
        <v>133</v>
      </c>
      <c r="D122" s="147" t="s">
        <v>149</v>
      </c>
      <c r="E122" s="147" t="s">
        <v>218</v>
      </c>
      <c r="F122" s="149">
        <v>36.43817465002418</v>
      </c>
      <c r="G122" s="148" t="s">
        <v>219</v>
      </c>
    </row>
    <row r="123" spans="1:7">
      <c r="A123" s="147">
        <v>2020</v>
      </c>
      <c r="B123" s="147" t="s">
        <v>223</v>
      </c>
      <c r="C123" s="148" t="s">
        <v>133</v>
      </c>
      <c r="D123" s="147" t="s">
        <v>149</v>
      </c>
      <c r="E123" s="147" t="s">
        <v>218</v>
      </c>
      <c r="F123" s="149">
        <v>25.613215488877469</v>
      </c>
      <c r="G123" s="148" t="s">
        <v>219</v>
      </c>
    </row>
    <row r="124" spans="1:7">
      <c r="A124" s="147">
        <v>2021</v>
      </c>
      <c r="B124" s="147" t="s">
        <v>223</v>
      </c>
      <c r="C124" s="148" t="s">
        <v>133</v>
      </c>
      <c r="D124" s="147" t="s">
        <v>149</v>
      </c>
      <c r="E124" s="147" t="s">
        <v>218</v>
      </c>
      <c r="F124" s="149">
        <v>31.221610843606879</v>
      </c>
      <c r="G124" s="148" t="s">
        <v>219</v>
      </c>
    </row>
    <row r="125" spans="1:7">
      <c r="A125" s="147">
        <v>2022</v>
      </c>
      <c r="B125" s="147" t="s">
        <v>223</v>
      </c>
      <c r="C125" s="148" t="s">
        <v>133</v>
      </c>
      <c r="D125" s="147" t="s">
        <v>149</v>
      </c>
      <c r="E125" s="147" t="s">
        <v>218</v>
      </c>
      <c r="F125" s="149">
        <v>35.645649274696126</v>
      </c>
      <c r="G125" s="148" t="s">
        <v>219</v>
      </c>
    </row>
    <row r="126" spans="1:7">
      <c r="A126" s="147" t="s">
        <v>185</v>
      </c>
      <c r="B126" s="147" t="s">
        <v>223</v>
      </c>
      <c r="C126" s="148" t="s">
        <v>133</v>
      </c>
      <c r="D126" s="147" t="s">
        <v>149</v>
      </c>
      <c r="E126" s="147" t="s">
        <v>218</v>
      </c>
      <c r="F126" s="149">
        <v>37.74077975712401</v>
      </c>
      <c r="G126" s="148" t="s">
        <v>219</v>
      </c>
    </row>
    <row r="127" spans="1:7">
      <c r="A127" s="147" t="s">
        <v>107</v>
      </c>
      <c r="B127" s="147" t="s">
        <v>223</v>
      </c>
      <c r="C127" s="148" t="s">
        <v>133</v>
      </c>
      <c r="D127" s="147" t="s">
        <v>149</v>
      </c>
      <c r="E127" s="147" t="s">
        <v>218</v>
      </c>
      <c r="F127" s="149">
        <v>39.730931259930955</v>
      </c>
      <c r="G127" s="148" t="s">
        <v>219</v>
      </c>
    </row>
    <row r="128" spans="1:7">
      <c r="A128" s="147">
        <v>2018</v>
      </c>
      <c r="B128" s="147" t="s">
        <v>224</v>
      </c>
      <c r="C128" s="148" t="s">
        <v>133</v>
      </c>
      <c r="D128" s="147" t="s">
        <v>136</v>
      </c>
      <c r="E128" s="147" t="s">
        <v>218</v>
      </c>
      <c r="F128" s="149">
        <v>868.09565494895742</v>
      </c>
      <c r="G128" s="148" t="s">
        <v>219</v>
      </c>
    </row>
    <row r="129" spans="1:7">
      <c r="A129" s="147">
        <v>2019</v>
      </c>
      <c r="B129" s="147" t="s">
        <v>224</v>
      </c>
      <c r="C129" s="148" t="s">
        <v>133</v>
      </c>
      <c r="D129" s="147" t="s">
        <v>136</v>
      </c>
      <c r="E129" s="147" t="s">
        <v>218</v>
      </c>
      <c r="F129" s="149">
        <v>878.66318411365489</v>
      </c>
      <c r="G129" s="148" t="s">
        <v>219</v>
      </c>
    </row>
    <row r="130" spans="1:7">
      <c r="A130" s="147">
        <v>2020</v>
      </c>
      <c r="B130" s="147" t="s">
        <v>224</v>
      </c>
      <c r="C130" s="148" t="s">
        <v>133</v>
      </c>
      <c r="D130" s="147" t="s">
        <v>136</v>
      </c>
      <c r="E130" s="147" t="s">
        <v>218</v>
      </c>
      <c r="F130" s="149">
        <v>940.66127092922409</v>
      </c>
      <c r="G130" s="148" t="s">
        <v>219</v>
      </c>
    </row>
    <row r="131" spans="1:7">
      <c r="A131" s="147">
        <v>2021</v>
      </c>
      <c r="B131" s="147" t="s">
        <v>224</v>
      </c>
      <c r="C131" s="148" t="s">
        <v>133</v>
      </c>
      <c r="D131" s="147" t="s">
        <v>136</v>
      </c>
      <c r="E131" s="147" t="s">
        <v>218</v>
      </c>
      <c r="F131" s="149">
        <v>1075.2605298875483</v>
      </c>
      <c r="G131" s="148" t="s">
        <v>219</v>
      </c>
    </row>
    <row r="132" spans="1:7">
      <c r="A132" s="147">
        <v>2022</v>
      </c>
      <c r="B132" s="147" t="s">
        <v>224</v>
      </c>
      <c r="C132" s="148" t="s">
        <v>133</v>
      </c>
      <c r="D132" s="147" t="s">
        <v>136</v>
      </c>
      <c r="E132" s="147" t="s">
        <v>218</v>
      </c>
      <c r="F132" s="149">
        <v>1094.1511883352066</v>
      </c>
      <c r="G132" s="148" t="s">
        <v>219</v>
      </c>
    </row>
    <row r="133" spans="1:7">
      <c r="A133" s="147" t="s">
        <v>185</v>
      </c>
      <c r="B133" s="147" t="s">
        <v>224</v>
      </c>
      <c r="C133" s="148" t="s">
        <v>133</v>
      </c>
      <c r="D133" s="147" t="s">
        <v>136</v>
      </c>
      <c r="E133" s="147" t="s">
        <v>218</v>
      </c>
      <c r="F133" s="149">
        <v>1121.75404834602</v>
      </c>
      <c r="G133" s="148" t="s">
        <v>219</v>
      </c>
    </row>
    <row r="134" spans="1:7">
      <c r="A134" s="147" t="s">
        <v>107</v>
      </c>
      <c r="B134" s="147" t="s">
        <v>224</v>
      </c>
      <c r="C134" s="148" t="s">
        <v>133</v>
      </c>
      <c r="D134" s="147" t="s">
        <v>136</v>
      </c>
      <c r="E134" s="147" t="s">
        <v>218</v>
      </c>
      <c r="F134" s="149">
        <v>1190.6921627469167</v>
      </c>
      <c r="G134" s="148" t="s">
        <v>219</v>
      </c>
    </row>
    <row r="135" spans="1:7">
      <c r="A135" s="147">
        <v>2018</v>
      </c>
      <c r="B135" s="147" t="s">
        <v>225</v>
      </c>
      <c r="C135" s="148" t="s">
        <v>133</v>
      </c>
      <c r="D135" s="147" t="s">
        <v>0</v>
      </c>
      <c r="E135" s="147" t="s">
        <v>218</v>
      </c>
      <c r="F135" s="149">
        <v>192.40933990361759</v>
      </c>
      <c r="G135" s="148" t="s">
        <v>219</v>
      </c>
    </row>
    <row r="136" spans="1:7">
      <c r="A136" s="147">
        <v>2019</v>
      </c>
      <c r="B136" s="147" t="s">
        <v>225</v>
      </c>
      <c r="C136" s="148" t="s">
        <v>133</v>
      </c>
      <c r="D136" s="147" t="s">
        <v>0</v>
      </c>
      <c r="E136" s="147" t="s">
        <v>218</v>
      </c>
      <c r="F136" s="149">
        <v>184.07071442101295</v>
      </c>
      <c r="G136" s="148" t="s">
        <v>219</v>
      </c>
    </row>
    <row r="137" spans="1:7">
      <c r="A137" s="147">
        <v>2020</v>
      </c>
      <c r="B137" s="147" t="s">
        <v>225</v>
      </c>
      <c r="C137" s="148" t="s">
        <v>133</v>
      </c>
      <c r="D137" s="147" t="s">
        <v>0</v>
      </c>
      <c r="E137" s="147" t="s">
        <v>218</v>
      </c>
      <c r="F137" s="149">
        <v>186.28117256432648</v>
      </c>
      <c r="G137" s="148" t="s">
        <v>219</v>
      </c>
    </row>
    <row r="138" spans="1:7">
      <c r="A138" s="147">
        <v>2021</v>
      </c>
      <c r="B138" s="147" t="s">
        <v>225</v>
      </c>
      <c r="C138" s="148" t="s">
        <v>133</v>
      </c>
      <c r="D138" s="147" t="s">
        <v>0</v>
      </c>
      <c r="E138" s="147" t="s">
        <v>218</v>
      </c>
      <c r="F138" s="149">
        <v>201.01491873236927</v>
      </c>
      <c r="G138" s="148" t="s">
        <v>219</v>
      </c>
    </row>
    <row r="139" spans="1:7">
      <c r="A139" s="147">
        <v>2022</v>
      </c>
      <c r="B139" s="147" t="s">
        <v>225</v>
      </c>
      <c r="C139" s="148" t="s">
        <v>133</v>
      </c>
      <c r="D139" s="147" t="s">
        <v>0</v>
      </c>
      <c r="E139" s="147" t="s">
        <v>218</v>
      </c>
      <c r="F139" s="149">
        <v>228.87728244260518</v>
      </c>
      <c r="G139" s="148" t="s">
        <v>219</v>
      </c>
    </row>
    <row r="140" spans="1:7">
      <c r="A140" s="147" t="s">
        <v>185</v>
      </c>
      <c r="B140" s="147" t="s">
        <v>225</v>
      </c>
      <c r="C140" s="148" t="s">
        <v>133</v>
      </c>
      <c r="D140" s="147" t="s">
        <v>0</v>
      </c>
      <c r="E140" s="147" t="s">
        <v>218</v>
      </c>
      <c r="F140" s="149">
        <v>230.11593343554208</v>
      </c>
      <c r="G140" s="148" t="s">
        <v>219</v>
      </c>
    </row>
    <row r="141" spans="1:7">
      <c r="A141" s="147" t="s">
        <v>107</v>
      </c>
      <c r="B141" s="147" t="s">
        <v>225</v>
      </c>
      <c r="C141" s="148" t="s">
        <v>133</v>
      </c>
      <c r="D141" s="147" t="s">
        <v>0</v>
      </c>
      <c r="E141" s="147" t="s">
        <v>218</v>
      </c>
      <c r="F141" s="149">
        <v>278.22710713536583</v>
      </c>
      <c r="G141" s="148" t="s">
        <v>219</v>
      </c>
    </row>
    <row r="142" spans="1:7">
      <c r="A142" s="147">
        <v>2018</v>
      </c>
      <c r="B142" s="147" t="s">
        <v>225</v>
      </c>
      <c r="C142" s="148" t="s">
        <v>133</v>
      </c>
      <c r="D142" s="147" t="s">
        <v>1</v>
      </c>
      <c r="E142" s="147" t="s">
        <v>218</v>
      </c>
      <c r="F142" s="149">
        <v>31.617562374561953</v>
      </c>
      <c r="G142" s="148" t="s">
        <v>219</v>
      </c>
    </row>
    <row r="143" spans="1:7">
      <c r="A143" s="147">
        <v>2019</v>
      </c>
      <c r="B143" s="147" t="s">
        <v>225</v>
      </c>
      <c r="C143" s="148" t="s">
        <v>133</v>
      </c>
      <c r="D143" s="147" t="s">
        <v>1</v>
      </c>
      <c r="E143" s="147" t="s">
        <v>218</v>
      </c>
      <c r="F143" s="149">
        <v>32.933370963155753</v>
      </c>
      <c r="G143" s="148" t="s">
        <v>219</v>
      </c>
    </row>
    <row r="144" spans="1:7">
      <c r="A144" s="147">
        <v>2020</v>
      </c>
      <c r="B144" s="147" t="s">
        <v>225</v>
      </c>
      <c r="C144" s="148" t="s">
        <v>133</v>
      </c>
      <c r="D144" s="147" t="s">
        <v>1</v>
      </c>
      <c r="E144" s="147" t="s">
        <v>218</v>
      </c>
      <c r="F144" s="149">
        <v>17.611593377834744</v>
      </c>
      <c r="G144" s="148" t="s">
        <v>219</v>
      </c>
    </row>
    <row r="145" spans="1:7">
      <c r="A145" s="147">
        <v>2021</v>
      </c>
      <c r="B145" s="147" t="s">
        <v>225</v>
      </c>
      <c r="C145" s="148" t="s">
        <v>133</v>
      </c>
      <c r="D145" s="147" t="s">
        <v>1</v>
      </c>
      <c r="E145" s="147" t="s">
        <v>218</v>
      </c>
      <c r="F145" s="149">
        <v>35.948325581020839</v>
      </c>
      <c r="G145" s="148" t="s">
        <v>219</v>
      </c>
    </row>
    <row r="146" spans="1:7">
      <c r="A146" s="147">
        <v>2022</v>
      </c>
      <c r="B146" s="147" t="s">
        <v>225</v>
      </c>
      <c r="C146" s="148" t="s">
        <v>133</v>
      </c>
      <c r="D146" s="147" t="s">
        <v>1</v>
      </c>
      <c r="E146" s="147" t="s">
        <v>218</v>
      </c>
      <c r="F146" s="149">
        <v>34.821168667499627</v>
      </c>
      <c r="G146" s="148" t="s">
        <v>219</v>
      </c>
    </row>
    <row r="147" spans="1:7">
      <c r="A147" s="147" t="s">
        <v>185</v>
      </c>
      <c r="B147" s="147" t="s">
        <v>225</v>
      </c>
      <c r="C147" s="148" t="s">
        <v>133</v>
      </c>
      <c r="D147" s="147" t="s">
        <v>1</v>
      </c>
      <c r="E147" s="147" t="s">
        <v>218</v>
      </c>
      <c r="F147" s="149">
        <v>39.978339205549588</v>
      </c>
      <c r="G147" s="148" t="s">
        <v>219</v>
      </c>
    </row>
    <row r="148" spans="1:7">
      <c r="A148" s="147" t="s">
        <v>107</v>
      </c>
      <c r="B148" s="147" t="s">
        <v>225</v>
      </c>
      <c r="C148" s="148" t="s">
        <v>133</v>
      </c>
      <c r="D148" s="147" t="s">
        <v>1</v>
      </c>
      <c r="E148" s="147" t="s">
        <v>218</v>
      </c>
      <c r="F148" s="149">
        <v>60.361795005055889</v>
      </c>
      <c r="G148" s="148" t="s">
        <v>219</v>
      </c>
    </row>
    <row r="149" spans="1:7">
      <c r="A149" s="147">
        <v>2018</v>
      </c>
      <c r="B149" s="147" t="s">
        <v>225</v>
      </c>
      <c r="C149" s="148" t="s">
        <v>133</v>
      </c>
      <c r="D149" s="147" t="s">
        <v>2</v>
      </c>
      <c r="E149" s="147" t="s">
        <v>218</v>
      </c>
      <c r="F149" s="149">
        <v>360.41093787863514</v>
      </c>
      <c r="G149" s="148" t="s">
        <v>219</v>
      </c>
    </row>
    <row r="150" spans="1:7">
      <c r="A150" s="147">
        <v>2019</v>
      </c>
      <c r="B150" s="147" t="s">
        <v>225</v>
      </c>
      <c r="C150" s="148" t="s">
        <v>133</v>
      </c>
      <c r="D150" s="147" t="s">
        <v>2</v>
      </c>
      <c r="E150" s="147" t="s">
        <v>218</v>
      </c>
      <c r="F150" s="149">
        <v>287.66258340014707</v>
      </c>
      <c r="G150" s="148" t="s">
        <v>219</v>
      </c>
    </row>
    <row r="151" spans="1:7">
      <c r="A151" s="147">
        <v>2020</v>
      </c>
      <c r="B151" s="147" t="s">
        <v>225</v>
      </c>
      <c r="C151" s="148" t="s">
        <v>133</v>
      </c>
      <c r="D151" s="147" t="s">
        <v>2</v>
      </c>
      <c r="E151" s="147" t="s">
        <v>218</v>
      </c>
      <c r="F151" s="149">
        <v>238.97141213875744</v>
      </c>
      <c r="G151" s="148" t="s">
        <v>219</v>
      </c>
    </row>
    <row r="152" spans="1:7">
      <c r="A152" s="147">
        <v>2021</v>
      </c>
      <c r="B152" s="147" t="s">
        <v>225</v>
      </c>
      <c r="C152" s="148" t="s">
        <v>133</v>
      </c>
      <c r="D152" s="147" t="s">
        <v>2</v>
      </c>
      <c r="E152" s="147" t="s">
        <v>218</v>
      </c>
      <c r="F152" s="149">
        <v>271.92954561214208</v>
      </c>
      <c r="G152" s="148" t="s">
        <v>219</v>
      </c>
    </row>
    <row r="153" spans="1:7">
      <c r="A153" s="147">
        <v>2022</v>
      </c>
      <c r="B153" s="147" t="s">
        <v>225</v>
      </c>
      <c r="C153" s="148" t="s">
        <v>133</v>
      </c>
      <c r="D153" s="147" t="s">
        <v>2</v>
      </c>
      <c r="E153" s="147" t="s">
        <v>218</v>
      </c>
      <c r="F153" s="149">
        <v>308.19307281717948</v>
      </c>
      <c r="G153" s="148" t="s">
        <v>219</v>
      </c>
    </row>
    <row r="154" spans="1:7">
      <c r="A154" s="147" t="s">
        <v>185</v>
      </c>
      <c r="B154" s="147" t="s">
        <v>225</v>
      </c>
      <c r="C154" s="148" t="s">
        <v>133</v>
      </c>
      <c r="D154" s="147" t="s">
        <v>2</v>
      </c>
      <c r="E154" s="147" t="s">
        <v>218</v>
      </c>
      <c r="F154" s="149">
        <v>294.91090738194401</v>
      </c>
      <c r="G154" s="148" t="s">
        <v>219</v>
      </c>
    </row>
    <row r="155" spans="1:7">
      <c r="A155" s="147" t="s">
        <v>107</v>
      </c>
      <c r="B155" s="147" t="s">
        <v>225</v>
      </c>
      <c r="C155" s="148" t="s">
        <v>133</v>
      </c>
      <c r="D155" s="147" t="s">
        <v>2</v>
      </c>
      <c r="E155" s="147" t="s">
        <v>218</v>
      </c>
      <c r="F155" s="149">
        <v>306.67117858180319</v>
      </c>
      <c r="G155" s="148" t="s">
        <v>219</v>
      </c>
    </row>
    <row r="156" spans="1:7">
      <c r="A156" s="147">
        <v>2018</v>
      </c>
      <c r="B156" s="147" t="s">
        <v>225</v>
      </c>
      <c r="C156" s="148" t="s">
        <v>133</v>
      </c>
      <c r="D156" s="147" t="s">
        <v>68</v>
      </c>
      <c r="E156" s="147" t="s">
        <v>218</v>
      </c>
      <c r="F156" s="149">
        <v>79.797330876925045</v>
      </c>
      <c r="G156" s="148" t="s">
        <v>219</v>
      </c>
    </row>
    <row r="157" spans="1:7">
      <c r="A157" s="147">
        <v>2019</v>
      </c>
      <c r="B157" s="147" t="s">
        <v>225</v>
      </c>
      <c r="C157" s="148" t="s">
        <v>133</v>
      </c>
      <c r="D157" s="147" t="s">
        <v>68</v>
      </c>
      <c r="E157" s="147" t="s">
        <v>218</v>
      </c>
      <c r="F157" s="149">
        <v>98.769190903838606</v>
      </c>
      <c r="G157" s="148" t="s">
        <v>219</v>
      </c>
    </row>
    <row r="158" spans="1:7">
      <c r="A158" s="147">
        <v>2020</v>
      </c>
      <c r="B158" s="147" t="s">
        <v>225</v>
      </c>
      <c r="C158" s="148" t="s">
        <v>133</v>
      </c>
      <c r="D158" s="147" t="s">
        <v>68</v>
      </c>
      <c r="E158" s="147" t="s">
        <v>218</v>
      </c>
      <c r="F158" s="149">
        <v>90.481109634084646</v>
      </c>
      <c r="G158" s="148" t="s">
        <v>219</v>
      </c>
    </row>
    <row r="159" spans="1:7">
      <c r="A159" s="147">
        <v>2021</v>
      </c>
      <c r="B159" s="147" t="s">
        <v>225</v>
      </c>
      <c r="C159" s="148" t="s">
        <v>133</v>
      </c>
      <c r="D159" s="147" t="s">
        <v>68</v>
      </c>
      <c r="E159" s="147" t="s">
        <v>218</v>
      </c>
      <c r="F159" s="149">
        <v>108.95215292822364</v>
      </c>
      <c r="G159" s="148" t="s">
        <v>219</v>
      </c>
    </row>
    <row r="160" spans="1:7">
      <c r="A160" s="147">
        <v>2022</v>
      </c>
      <c r="B160" s="147" t="s">
        <v>225</v>
      </c>
      <c r="C160" s="148" t="s">
        <v>133</v>
      </c>
      <c r="D160" s="147" t="s">
        <v>68</v>
      </c>
      <c r="E160" s="147" t="s">
        <v>218</v>
      </c>
      <c r="F160" s="149">
        <v>116.0643887898556</v>
      </c>
      <c r="G160" s="148" t="s">
        <v>219</v>
      </c>
    </row>
    <row r="161" spans="1:7">
      <c r="A161" s="147" t="s">
        <v>185</v>
      </c>
      <c r="B161" s="147" t="s">
        <v>225</v>
      </c>
      <c r="C161" s="148" t="s">
        <v>133</v>
      </c>
      <c r="D161" s="147" t="s">
        <v>68</v>
      </c>
      <c r="E161" s="147" t="s">
        <v>218</v>
      </c>
      <c r="F161" s="149">
        <v>152.44663236731648</v>
      </c>
      <c r="G161" s="148" t="s">
        <v>219</v>
      </c>
    </row>
    <row r="162" spans="1:7">
      <c r="A162" s="147" t="s">
        <v>107</v>
      </c>
      <c r="B162" s="147" t="s">
        <v>225</v>
      </c>
      <c r="C162" s="148" t="s">
        <v>133</v>
      </c>
      <c r="D162" s="147" t="s">
        <v>68</v>
      </c>
      <c r="E162" s="147" t="s">
        <v>218</v>
      </c>
      <c r="F162" s="149">
        <v>129.15322545519254</v>
      </c>
      <c r="G162" s="148" t="s">
        <v>219</v>
      </c>
    </row>
    <row r="163" spans="1:7">
      <c r="A163" s="147">
        <v>2018</v>
      </c>
      <c r="B163" s="147" t="s">
        <v>225</v>
      </c>
      <c r="C163" s="148" t="s">
        <v>133</v>
      </c>
      <c r="D163" s="147" t="s">
        <v>4</v>
      </c>
      <c r="E163" s="147" t="s">
        <v>218</v>
      </c>
      <c r="F163" s="149">
        <v>432.89628844140594</v>
      </c>
      <c r="G163" s="148" t="s">
        <v>219</v>
      </c>
    </row>
    <row r="164" spans="1:7">
      <c r="A164" s="147">
        <v>2019</v>
      </c>
      <c r="B164" s="147" t="s">
        <v>225</v>
      </c>
      <c r="C164" s="148" t="s">
        <v>133</v>
      </c>
      <c r="D164" s="147" t="s">
        <v>4</v>
      </c>
      <c r="E164" s="147" t="s">
        <v>218</v>
      </c>
      <c r="F164" s="149">
        <v>414.09206231117167</v>
      </c>
      <c r="G164" s="148" t="s">
        <v>219</v>
      </c>
    </row>
    <row r="165" spans="1:7">
      <c r="A165" s="147">
        <v>2020</v>
      </c>
      <c r="B165" s="147" t="s">
        <v>225</v>
      </c>
      <c r="C165" s="148" t="s">
        <v>133</v>
      </c>
      <c r="D165" s="147" t="s">
        <v>4</v>
      </c>
      <c r="E165" s="147" t="s">
        <v>218</v>
      </c>
      <c r="F165" s="149">
        <v>224.27333170014248</v>
      </c>
      <c r="G165" s="148" t="s">
        <v>219</v>
      </c>
    </row>
    <row r="166" spans="1:7">
      <c r="A166" s="147">
        <v>2021</v>
      </c>
      <c r="B166" s="147" t="s">
        <v>225</v>
      </c>
      <c r="C166" s="148" t="s">
        <v>133</v>
      </c>
      <c r="D166" s="147" t="s">
        <v>4</v>
      </c>
      <c r="E166" s="147" t="s">
        <v>218</v>
      </c>
      <c r="F166" s="149">
        <v>433.96940811297571</v>
      </c>
      <c r="G166" s="148" t="s">
        <v>219</v>
      </c>
    </row>
    <row r="167" spans="1:7">
      <c r="A167" s="147">
        <v>2022</v>
      </c>
      <c r="B167" s="147" t="s">
        <v>225</v>
      </c>
      <c r="C167" s="148" t="s">
        <v>133</v>
      </c>
      <c r="D167" s="147" t="s">
        <v>4</v>
      </c>
      <c r="E167" s="147" t="s">
        <v>218</v>
      </c>
      <c r="F167" s="149">
        <v>395.72653849120087</v>
      </c>
      <c r="G167" s="148" t="s">
        <v>219</v>
      </c>
    </row>
    <row r="168" spans="1:7">
      <c r="A168" s="147" t="s">
        <v>185</v>
      </c>
      <c r="B168" s="147" t="s">
        <v>225</v>
      </c>
      <c r="C168" s="148" t="s">
        <v>133</v>
      </c>
      <c r="D168" s="147" t="s">
        <v>4</v>
      </c>
      <c r="E168" s="147" t="s">
        <v>218</v>
      </c>
      <c r="F168" s="149">
        <v>454.64892288348483</v>
      </c>
      <c r="G168" s="148" t="s">
        <v>219</v>
      </c>
    </row>
    <row r="169" spans="1:7">
      <c r="A169" s="147" t="s">
        <v>107</v>
      </c>
      <c r="B169" s="147" t="s">
        <v>225</v>
      </c>
      <c r="C169" s="148" t="s">
        <v>133</v>
      </c>
      <c r="D169" s="147" t="s">
        <v>4</v>
      </c>
      <c r="E169" s="147" t="s">
        <v>218</v>
      </c>
      <c r="F169" s="149">
        <v>475.37124663854314</v>
      </c>
      <c r="G169" s="148" t="s">
        <v>219</v>
      </c>
    </row>
    <row r="170" spans="1:7">
      <c r="A170" s="147">
        <v>2018</v>
      </c>
      <c r="B170" s="147" t="s">
        <v>225</v>
      </c>
      <c r="C170" s="148" t="s">
        <v>133</v>
      </c>
      <c r="D170" s="147" t="s">
        <v>5</v>
      </c>
      <c r="E170" s="147" t="s">
        <v>218</v>
      </c>
      <c r="F170" s="149">
        <v>169.22136374778805</v>
      </c>
      <c r="G170" s="148" t="s">
        <v>219</v>
      </c>
    </row>
    <row r="171" spans="1:7">
      <c r="A171" s="147">
        <v>2019</v>
      </c>
      <c r="B171" s="147" t="s">
        <v>225</v>
      </c>
      <c r="C171" s="148" t="s">
        <v>133</v>
      </c>
      <c r="D171" s="147" t="s">
        <v>5</v>
      </c>
      <c r="E171" s="147" t="s">
        <v>218</v>
      </c>
      <c r="F171" s="149">
        <v>167.6632814651509</v>
      </c>
      <c r="G171" s="148" t="s">
        <v>219</v>
      </c>
    </row>
    <row r="172" spans="1:7">
      <c r="A172" s="147">
        <v>2020</v>
      </c>
      <c r="B172" s="147" t="s">
        <v>225</v>
      </c>
      <c r="C172" s="148" t="s">
        <v>133</v>
      </c>
      <c r="D172" s="147" t="s">
        <v>5</v>
      </c>
      <c r="E172" s="147" t="s">
        <v>218</v>
      </c>
      <c r="F172" s="149">
        <v>90.965020109546728</v>
      </c>
      <c r="G172" s="148" t="s">
        <v>219</v>
      </c>
    </row>
    <row r="173" spans="1:7">
      <c r="A173" s="147">
        <v>2021</v>
      </c>
      <c r="B173" s="147" t="s">
        <v>225</v>
      </c>
      <c r="C173" s="148" t="s">
        <v>133</v>
      </c>
      <c r="D173" s="147" t="s">
        <v>5</v>
      </c>
      <c r="E173" s="147" t="s">
        <v>218</v>
      </c>
      <c r="F173" s="149">
        <v>159.33740036071097</v>
      </c>
      <c r="G173" s="148" t="s">
        <v>219</v>
      </c>
    </row>
    <row r="174" spans="1:7">
      <c r="A174" s="147">
        <v>2022</v>
      </c>
      <c r="B174" s="147" t="s">
        <v>225</v>
      </c>
      <c r="C174" s="148" t="s">
        <v>133</v>
      </c>
      <c r="D174" s="147" t="s">
        <v>5</v>
      </c>
      <c r="E174" s="147" t="s">
        <v>218</v>
      </c>
      <c r="F174" s="149">
        <v>185.87353298069306</v>
      </c>
      <c r="G174" s="148" t="s">
        <v>219</v>
      </c>
    </row>
    <row r="175" spans="1:7">
      <c r="A175" s="147" t="s">
        <v>185</v>
      </c>
      <c r="B175" s="147" t="s">
        <v>225</v>
      </c>
      <c r="C175" s="148" t="s">
        <v>133</v>
      </c>
      <c r="D175" s="147" t="s">
        <v>5</v>
      </c>
      <c r="E175" s="147" t="s">
        <v>218</v>
      </c>
      <c r="F175" s="149">
        <v>126.38823744021811</v>
      </c>
      <c r="G175" s="148" t="s">
        <v>219</v>
      </c>
    </row>
    <row r="176" spans="1:7">
      <c r="A176" s="147" t="s">
        <v>107</v>
      </c>
      <c r="B176" s="147" t="s">
        <v>225</v>
      </c>
      <c r="C176" s="148" t="s">
        <v>133</v>
      </c>
      <c r="D176" s="147" t="s">
        <v>5</v>
      </c>
      <c r="E176" s="147" t="s">
        <v>218</v>
      </c>
      <c r="F176" s="149">
        <v>138.16381052033648</v>
      </c>
      <c r="G176" s="148" t="s">
        <v>219</v>
      </c>
    </row>
    <row r="177" spans="1:7">
      <c r="A177" s="147">
        <v>2018</v>
      </c>
      <c r="B177" s="147" t="s">
        <v>225</v>
      </c>
      <c r="C177" s="148" t="s">
        <v>133</v>
      </c>
      <c r="D177" s="147" t="s">
        <v>6</v>
      </c>
      <c r="E177" s="147" t="s">
        <v>218</v>
      </c>
      <c r="F177" s="149">
        <v>63.10703644902835</v>
      </c>
      <c r="G177" s="148" t="s">
        <v>219</v>
      </c>
    </row>
    <row r="178" spans="1:7">
      <c r="A178" s="147">
        <v>2019</v>
      </c>
      <c r="B178" s="147" t="s">
        <v>225</v>
      </c>
      <c r="C178" s="148" t="s">
        <v>133</v>
      </c>
      <c r="D178" s="147" t="s">
        <v>6</v>
      </c>
      <c r="E178" s="147" t="s">
        <v>218</v>
      </c>
      <c r="F178" s="149">
        <v>51.972444179527969</v>
      </c>
      <c r="G178" s="148" t="s">
        <v>219</v>
      </c>
    </row>
    <row r="179" spans="1:7">
      <c r="A179" s="147">
        <v>2020</v>
      </c>
      <c r="B179" s="147" t="s">
        <v>225</v>
      </c>
      <c r="C179" s="148" t="s">
        <v>133</v>
      </c>
      <c r="D179" s="147" t="s">
        <v>6</v>
      </c>
      <c r="E179" s="147" t="s">
        <v>218</v>
      </c>
      <c r="F179" s="149">
        <v>40.217315700933021</v>
      </c>
      <c r="G179" s="148" t="s">
        <v>219</v>
      </c>
    </row>
    <row r="180" spans="1:7">
      <c r="A180" s="147">
        <v>2021</v>
      </c>
      <c r="B180" s="147" t="s">
        <v>225</v>
      </c>
      <c r="C180" s="148" t="s">
        <v>133</v>
      </c>
      <c r="D180" s="147" t="s">
        <v>6</v>
      </c>
      <c r="E180" s="147" t="s">
        <v>218</v>
      </c>
      <c r="F180" s="149">
        <v>61.004967857117478</v>
      </c>
      <c r="G180" s="148" t="s">
        <v>219</v>
      </c>
    </row>
    <row r="181" spans="1:7">
      <c r="A181" s="147">
        <v>2022</v>
      </c>
      <c r="B181" s="147" t="s">
        <v>225</v>
      </c>
      <c r="C181" s="148" t="s">
        <v>133</v>
      </c>
      <c r="D181" s="147" t="s">
        <v>6</v>
      </c>
      <c r="E181" s="147" t="s">
        <v>218</v>
      </c>
      <c r="F181" s="149">
        <v>71.836832031364025</v>
      </c>
      <c r="G181" s="148" t="s">
        <v>219</v>
      </c>
    </row>
    <row r="182" spans="1:7">
      <c r="A182" s="147" t="s">
        <v>185</v>
      </c>
      <c r="B182" s="147" t="s">
        <v>225</v>
      </c>
      <c r="C182" s="148" t="s">
        <v>133</v>
      </c>
      <c r="D182" s="147" t="s">
        <v>6</v>
      </c>
      <c r="E182" s="147" t="s">
        <v>218</v>
      </c>
      <c r="F182" s="149">
        <v>83.099950814805595</v>
      </c>
      <c r="G182" s="148" t="s">
        <v>219</v>
      </c>
    </row>
    <row r="183" spans="1:7">
      <c r="A183" s="147" t="s">
        <v>107</v>
      </c>
      <c r="B183" s="147" t="s">
        <v>225</v>
      </c>
      <c r="C183" s="148" t="s">
        <v>133</v>
      </c>
      <c r="D183" s="147" t="s">
        <v>6</v>
      </c>
      <c r="E183" s="147" t="s">
        <v>218</v>
      </c>
      <c r="F183" s="149">
        <v>77.309167442473367</v>
      </c>
      <c r="G183" s="148" t="s">
        <v>219</v>
      </c>
    </row>
    <row r="184" spans="1:7">
      <c r="A184" s="147">
        <v>2018</v>
      </c>
      <c r="B184" s="147" t="s">
        <v>225</v>
      </c>
      <c r="C184" s="148" t="s">
        <v>133</v>
      </c>
      <c r="D184" s="147" t="s">
        <v>7</v>
      </c>
      <c r="E184" s="147" t="s">
        <v>218</v>
      </c>
      <c r="F184" s="149">
        <v>113.64315391091843</v>
      </c>
      <c r="G184" s="148" t="s">
        <v>219</v>
      </c>
    </row>
    <row r="185" spans="1:7">
      <c r="A185" s="147">
        <v>2019</v>
      </c>
      <c r="B185" s="147" t="s">
        <v>225</v>
      </c>
      <c r="C185" s="148" t="s">
        <v>133</v>
      </c>
      <c r="D185" s="147" t="s">
        <v>7</v>
      </c>
      <c r="E185" s="147" t="s">
        <v>218</v>
      </c>
      <c r="F185" s="149">
        <v>100.29203292581225</v>
      </c>
      <c r="G185" s="148" t="s">
        <v>219</v>
      </c>
    </row>
    <row r="186" spans="1:7">
      <c r="A186" s="147">
        <v>2020</v>
      </c>
      <c r="B186" s="147" t="s">
        <v>225</v>
      </c>
      <c r="C186" s="148" t="s">
        <v>133</v>
      </c>
      <c r="D186" s="147" t="s">
        <v>7</v>
      </c>
      <c r="E186" s="147" t="s">
        <v>218</v>
      </c>
      <c r="F186" s="149">
        <v>37.7096309533311</v>
      </c>
      <c r="G186" s="148" t="s">
        <v>219</v>
      </c>
    </row>
    <row r="187" spans="1:7">
      <c r="A187" s="147">
        <v>2021</v>
      </c>
      <c r="B187" s="147" t="s">
        <v>225</v>
      </c>
      <c r="C187" s="148" t="s">
        <v>133</v>
      </c>
      <c r="D187" s="147" t="s">
        <v>7</v>
      </c>
      <c r="E187" s="147" t="s">
        <v>218</v>
      </c>
      <c r="F187" s="149">
        <v>55.074579104039231</v>
      </c>
      <c r="G187" s="148" t="s">
        <v>219</v>
      </c>
    </row>
    <row r="188" spans="1:7">
      <c r="A188" s="147">
        <v>2022</v>
      </c>
      <c r="B188" s="147" t="s">
        <v>225</v>
      </c>
      <c r="C188" s="148" t="s">
        <v>133</v>
      </c>
      <c r="D188" s="147" t="s">
        <v>7</v>
      </c>
      <c r="E188" s="147" t="s">
        <v>218</v>
      </c>
      <c r="F188" s="149">
        <v>63.959561684397229</v>
      </c>
      <c r="G188" s="148" t="s">
        <v>219</v>
      </c>
    </row>
    <row r="189" spans="1:7">
      <c r="A189" s="147" t="s">
        <v>185</v>
      </c>
      <c r="B189" s="147" t="s">
        <v>225</v>
      </c>
      <c r="C189" s="148" t="s">
        <v>133</v>
      </c>
      <c r="D189" s="147" t="s">
        <v>7</v>
      </c>
      <c r="E189" s="147" t="s">
        <v>218</v>
      </c>
      <c r="F189" s="149">
        <v>66.965333924711999</v>
      </c>
      <c r="G189" s="148" t="s">
        <v>219</v>
      </c>
    </row>
    <row r="190" spans="1:7">
      <c r="A190" s="147" t="s">
        <v>107</v>
      </c>
      <c r="B190" s="147" t="s">
        <v>225</v>
      </c>
      <c r="C190" s="148" t="s">
        <v>133</v>
      </c>
      <c r="D190" s="147" t="s">
        <v>7</v>
      </c>
      <c r="E190" s="147" t="s">
        <v>218</v>
      </c>
      <c r="F190" s="149">
        <v>76.702939746408106</v>
      </c>
      <c r="G190" s="148" t="s">
        <v>219</v>
      </c>
    </row>
    <row r="191" spans="1:7">
      <c r="A191" s="147">
        <v>2018</v>
      </c>
      <c r="B191" s="147" t="s">
        <v>225</v>
      </c>
      <c r="C191" s="148" t="s">
        <v>133</v>
      </c>
      <c r="D191" s="147" t="s">
        <v>8</v>
      </c>
      <c r="E191" s="147" t="s">
        <v>218</v>
      </c>
      <c r="F191" s="149">
        <v>100.79445604586135</v>
      </c>
      <c r="G191" s="148" t="s">
        <v>219</v>
      </c>
    </row>
    <row r="192" spans="1:7">
      <c r="A192" s="147">
        <v>2019</v>
      </c>
      <c r="B192" s="147" t="s">
        <v>225</v>
      </c>
      <c r="C192" s="148" t="s">
        <v>133</v>
      </c>
      <c r="D192" s="147" t="s">
        <v>8</v>
      </c>
      <c r="E192" s="147" t="s">
        <v>218</v>
      </c>
      <c r="F192" s="149">
        <v>100.27000476331223</v>
      </c>
      <c r="G192" s="148" t="s">
        <v>219</v>
      </c>
    </row>
    <row r="193" spans="1:7">
      <c r="A193" s="147">
        <v>2020</v>
      </c>
      <c r="B193" s="147" t="s">
        <v>225</v>
      </c>
      <c r="C193" s="148" t="s">
        <v>133</v>
      </c>
      <c r="D193" s="147" t="s">
        <v>8</v>
      </c>
      <c r="E193" s="147" t="s">
        <v>218</v>
      </c>
      <c r="F193" s="149">
        <v>101.03085725832939</v>
      </c>
      <c r="G193" s="148" t="s">
        <v>219</v>
      </c>
    </row>
    <row r="194" spans="1:7">
      <c r="A194" s="147">
        <v>2021</v>
      </c>
      <c r="B194" s="147" t="s">
        <v>225</v>
      </c>
      <c r="C194" s="148" t="s">
        <v>133</v>
      </c>
      <c r="D194" s="147" t="s">
        <v>8</v>
      </c>
      <c r="E194" s="147" t="s">
        <v>218</v>
      </c>
      <c r="F194" s="149">
        <v>106.36652108227847</v>
      </c>
      <c r="G194" s="148" t="s">
        <v>219</v>
      </c>
    </row>
    <row r="195" spans="1:7">
      <c r="A195" s="147">
        <v>2022</v>
      </c>
      <c r="B195" s="147" t="s">
        <v>225</v>
      </c>
      <c r="C195" s="148" t="s">
        <v>133</v>
      </c>
      <c r="D195" s="147" t="s">
        <v>8</v>
      </c>
      <c r="E195" s="147" t="s">
        <v>218</v>
      </c>
      <c r="F195" s="149">
        <v>104.52021068498534</v>
      </c>
      <c r="G195" s="148" t="s">
        <v>219</v>
      </c>
    </row>
    <row r="196" spans="1:7">
      <c r="A196" s="147" t="s">
        <v>185</v>
      </c>
      <c r="B196" s="147" t="s">
        <v>225</v>
      </c>
      <c r="C196" s="148" t="s">
        <v>133</v>
      </c>
      <c r="D196" s="147" t="s">
        <v>8</v>
      </c>
      <c r="E196" s="147" t="s">
        <v>218</v>
      </c>
      <c r="F196" s="149">
        <v>111.45810998879422</v>
      </c>
      <c r="G196" s="148" t="s">
        <v>219</v>
      </c>
    </row>
    <row r="197" spans="1:7">
      <c r="A197" s="147" t="s">
        <v>107</v>
      </c>
      <c r="B197" s="147" t="s">
        <v>225</v>
      </c>
      <c r="C197" s="148" t="s">
        <v>133</v>
      </c>
      <c r="D197" s="147" t="s">
        <v>8</v>
      </c>
      <c r="E197" s="147" t="s">
        <v>218</v>
      </c>
      <c r="F197" s="149">
        <v>118.1980122394359</v>
      </c>
      <c r="G197" s="148" t="s">
        <v>219</v>
      </c>
    </row>
    <row r="198" spans="1:7">
      <c r="A198" s="147">
        <v>2018</v>
      </c>
      <c r="B198" s="147" t="s">
        <v>225</v>
      </c>
      <c r="C198" s="148" t="s">
        <v>133</v>
      </c>
      <c r="D198" s="147" t="s">
        <v>9</v>
      </c>
      <c r="E198" s="147" t="s">
        <v>218</v>
      </c>
      <c r="F198" s="149">
        <v>50.543070737934251</v>
      </c>
      <c r="G198" s="148" t="s">
        <v>219</v>
      </c>
    </row>
    <row r="199" spans="1:7">
      <c r="A199" s="147">
        <v>2019</v>
      </c>
      <c r="B199" s="147" t="s">
        <v>225</v>
      </c>
      <c r="C199" s="148" t="s">
        <v>133</v>
      </c>
      <c r="D199" s="147" t="s">
        <v>9</v>
      </c>
      <c r="E199" s="147" t="s">
        <v>218</v>
      </c>
      <c r="F199" s="149">
        <v>51.48954408602949</v>
      </c>
      <c r="G199" s="148" t="s">
        <v>219</v>
      </c>
    </row>
    <row r="200" spans="1:7">
      <c r="A200" s="147">
        <v>2020</v>
      </c>
      <c r="B200" s="147" t="s">
        <v>225</v>
      </c>
      <c r="C200" s="148" t="s">
        <v>133</v>
      </c>
      <c r="D200" s="147" t="s">
        <v>9</v>
      </c>
      <c r="E200" s="147" t="s">
        <v>218</v>
      </c>
      <c r="F200" s="149">
        <v>50.404078795113989</v>
      </c>
      <c r="G200" s="148" t="s">
        <v>219</v>
      </c>
    </row>
    <row r="201" spans="1:7">
      <c r="A201" s="147">
        <v>2021</v>
      </c>
      <c r="B201" s="147" t="s">
        <v>225</v>
      </c>
      <c r="C201" s="148" t="s">
        <v>133</v>
      </c>
      <c r="D201" s="147" t="s">
        <v>9</v>
      </c>
      <c r="E201" s="147" t="s">
        <v>218</v>
      </c>
      <c r="F201" s="149">
        <v>54.711172287929024</v>
      </c>
      <c r="G201" s="148" t="s">
        <v>219</v>
      </c>
    </row>
    <row r="202" spans="1:7">
      <c r="A202" s="147">
        <v>2022</v>
      </c>
      <c r="B202" s="147" t="s">
        <v>225</v>
      </c>
      <c r="C202" s="148" t="s">
        <v>133</v>
      </c>
      <c r="D202" s="147" t="s">
        <v>9</v>
      </c>
      <c r="E202" s="147" t="s">
        <v>218</v>
      </c>
      <c r="F202" s="149">
        <v>58.144396825677561</v>
      </c>
      <c r="G202" s="148" t="s">
        <v>219</v>
      </c>
    </row>
    <row r="203" spans="1:7">
      <c r="A203" s="147" t="s">
        <v>185</v>
      </c>
      <c r="B203" s="147" t="s">
        <v>225</v>
      </c>
      <c r="C203" s="148" t="s">
        <v>133</v>
      </c>
      <c r="D203" s="147" t="s">
        <v>9</v>
      </c>
      <c r="E203" s="147" t="s">
        <v>218</v>
      </c>
      <c r="F203" s="149">
        <v>58.463919460427604</v>
      </c>
      <c r="G203" s="148" t="s">
        <v>219</v>
      </c>
    </row>
    <row r="204" spans="1:7">
      <c r="A204" s="147" t="s">
        <v>107</v>
      </c>
      <c r="B204" s="147" t="s">
        <v>225</v>
      </c>
      <c r="C204" s="148" t="s">
        <v>133</v>
      </c>
      <c r="D204" s="147" t="s">
        <v>9</v>
      </c>
      <c r="E204" s="147" t="s">
        <v>218</v>
      </c>
      <c r="F204" s="149">
        <v>62.675057239258614</v>
      </c>
      <c r="G204" s="148" t="s">
        <v>219</v>
      </c>
    </row>
    <row r="205" spans="1:7">
      <c r="A205" s="147">
        <v>2018</v>
      </c>
      <c r="B205" s="147" t="s">
        <v>225</v>
      </c>
      <c r="C205" s="148" t="s">
        <v>133</v>
      </c>
      <c r="D205" s="147" t="s">
        <v>70</v>
      </c>
      <c r="E205" s="147" t="s">
        <v>218</v>
      </c>
      <c r="F205" s="149">
        <v>148.33169169900754</v>
      </c>
      <c r="G205" s="148" t="s">
        <v>219</v>
      </c>
    </row>
    <row r="206" spans="1:7">
      <c r="A206" s="147">
        <v>2019</v>
      </c>
      <c r="B206" s="147" t="s">
        <v>225</v>
      </c>
      <c r="C206" s="148" t="s">
        <v>133</v>
      </c>
      <c r="D206" s="147" t="s">
        <v>70</v>
      </c>
      <c r="E206" s="147" t="s">
        <v>218</v>
      </c>
      <c r="F206" s="149">
        <v>143.01972482238401</v>
      </c>
      <c r="G206" s="148" t="s">
        <v>219</v>
      </c>
    </row>
    <row r="207" spans="1:7">
      <c r="A207" s="147">
        <v>2020</v>
      </c>
      <c r="B207" s="147" t="s">
        <v>225</v>
      </c>
      <c r="C207" s="148" t="s">
        <v>133</v>
      </c>
      <c r="D207" s="147" t="s">
        <v>70</v>
      </c>
      <c r="E207" s="147" t="s">
        <v>218</v>
      </c>
      <c r="F207" s="149">
        <v>151.85190781555781</v>
      </c>
      <c r="G207" s="148" t="s">
        <v>219</v>
      </c>
    </row>
    <row r="208" spans="1:7">
      <c r="A208" s="147">
        <v>2021</v>
      </c>
      <c r="B208" s="147" t="s">
        <v>225</v>
      </c>
      <c r="C208" s="148" t="s">
        <v>133</v>
      </c>
      <c r="D208" s="147" t="s">
        <v>70</v>
      </c>
      <c r="E208" s="147" t="s">
        <v>218</v>
      </c>
      <c r="F208" s="149">
        <v>156.63339176261229</v>
      </c>
      <c r="G208" s="148" t="s">
        <v>219</v>
      </c>
    </row>
    <row r="209" spans="1:7">
      <c r="A209" s="147">
        <v>2022</v>
      </c>
      <c r="B209" s="147" t="s">
        <v>225</v>
      </c>
      <c r="C209" s="148" t="s">
        <v>133</v>
      </c>
      <c r="D209" s="147" t="s">
        <v>70</v>
      </c>
      <c r="E209" s="147" t="s">
        <v>218</v>
      </c>
      <c r="F209" s="149">
        <v>189.70844920559918</v>
      </c>
      <c r="G209" s="148" t="s">
        <v>219</v>
      </c>
    </row>
    <row r="210" spans="1:7">
      <c r="A210" s="147" t="s">
        <v>185</v>
      </c>
      <c r="B210" s="147" t="s">
        <v>225</v>
      </c>
      <c r="C210" s="148" t="s">
        <v>133</v>
      </c>
      <c r="D210" s="147" t="s">
        <v>70</v>
      </c>
      <c r="E210" s="147" t="s">
        <v>218</v>
      </c>
      <c r="F210" s="149">
        <v>184.67930192806705</v>
      </c>
      <c r="G210" s="148" t="s">
        <v>219</v>
      </c>
    </row>
    <row r="211" spans="1:7">
      <c r="A211" s="147" t="s">
        <v>107</v>
      </c>
      <c r="B211" s="147" t="s">
        <v>225</v>
      </c>
      <c r="C211" s="148" t="s">
        <v>133</v>
      </c>
      <c r="D211" s="147" t="s">
        <v>70</v>
      </c>
      <c r="E211" s="147" t="s">
        <v>218</v>
      </c>
      <c r="F211" s="149">
        <v>195.84801700470427</v>
      </c>
      <c r="G211" s="148" t="s">
        <v>219</v>
      </c>
    </row>
    <row r="212" spans="1:7">
      <c r="A212" s="147">
        <v>2018</v>
      </c>
      <c r="B212" s="147" t="s">
        <v>225</v>
      </c>
      <c r="C212" s="148" t="s">
        <v>133</v>
      </c>
      <c r="D212" s="147" t="s">
        <v>10</v>
      </c>
      <c r="E212" s="147" t="s">
        <v>218</v>
      </c>
      <c r="F212" s="149">
        <v>3.5709833908099813</v>
      </c>
      <c r="G212" s="148" t="s">
        <v>219</v>
      </c>
    </row>
    <row r="213" spans="1:7">
      <c r="A213" s="147">
        <v>2019</v>
      </c>
      <c r="B213" s="147" t="s">
        <v>225</v>
      </c>
      <c r="C213" s="148" t="s">
        <v>133</v>
      </c>
      <c r="D213" s="147" t="s">
        <v>10</v>
      </c>
      <c r="E213" s="147" t="s">
        <v>218</v>
      </c>
      <c r="F213" s="149">
        <v>3.6511374738505977</v>
      </c>
      <c r="G213" s="148" t="s">
        <v>219</v>
      </c>
    </row>
    <row r="214" spans="1:7">
      <c r="A214" s="147">
        <v>2020</v>
      </c>
      <c r="B214" s="147" t="s">
        <v>225</v>
      </c>
      <c r="C214" s="148" t="s">
        <v>133</v>
      </c>
      <c r="D214" s="147" t="s">
        <v>10</v>
      </c>
      <c r="E214" s="147" t="s">
        <v>218</v>
      </c>
      <c r="F214" s="149">
        <v>2.8121724486518866</v>
      </c>
      <c r="G214" s="148" t="s">
        <v>219</v>
      </c>
    </row>
    <row r="215" spans="1:7">
      <c r="A215" s="147">
        <v>2021</v>
      </c>
      <c r="B215" s="147" t="s">
        <v>225</v>
      </c>
      <c r="C215" s="148" t="s">
        <v>133</v>
      </c>
      <c r="D215" s="147" t="s">
        <v>10</v>
      </c>
      <c r="E215" s="147" t="s">
        <v>218</v>
      </c>
      <c r="F215" s="149">
        <v>2.7578542308084866</v>
      </c>
      <c r="G215" s="148" t="s">
        <v>219</v>
      </c>
    </row>
    <row r="216" spans="1:7">
      <c r="A216" s="147">
        <v>2022</v>
      </c>
      <c r="B216" s="147" t="s">
        <v>225</v>
      </c>
      <c r="C216" s="148" t="s">
        <v>133</v>
      </c>
      <c r="D216" s="147" t="s">
        <v>10</v>
      </c>
      <c r="E216" s="147" t="s">
        <v>218</v>
      </c>
      <c r="F216" s="149">
        <v>3.7305425059319415</v>
      </c>
      <c r="G216" s="148" t="s">
        <v>219</v>
      </c>
    </row>
    <row r="217" spans="1:7">
      <c r="A217" s="147" t="s">
        <v>185</v>
      </c>
      <c r="B217" s="147" t="s">
        <v>225</v>
      </c>
      <c r="C217" s="148" t="s">
        <v>133</v>
      </c>
      <c r="D217" s="147" t="s">
        <v>10</v>
      </c>
      <c r="E217" s="147" t="s">
        <v>218</v>
      </c>
      <c r="F217" s="149">
        <v>4.0492357150649356</v>
      </c>
      <c r="G217" s="148" t="s">
        <v>219</v>
      </c>
    </row>
    <row r="218" spans="1:7">
      <c r="A218" s="147" t="s">
        <v>107</v>
      </c>
      <c r="B218" s="147" t="s">
        <v>225</v>
      </c>
      <c r="C218" s="148" t="s">
        <v>133</v>
      </c>
      <c r="D218" s="147" t="s">
        <v>10</v>
      </c>
      <c r="E218" s="147" t="s">
        <v>218</v>
      </c>
      <c r="F218" s="149">
        <v>4.5255156562370962</v>
      </c>
      <c r="G218" s="148" t="s">
        <v>219</v>
      </c>
    </row>
    <row r="219" spans="1:7">
      <c r="A219" s="147">
        <v>2018</v>
      </c>
      <c r="B219" s="147" t="s">
        <v>225</v>
      </c>
      <c r="C219" s="148" t="s">
        <v>133</v>
      </c>
      <c r="D219" s="147" t="s">
        <v>59</v>
      </c>
      <c r="E219" s="147" t="s">
        <v>218</v>
      </c>
      <c r="F219" s="149">
        <v>0.3087406521922102</v>
      </c>
      <c r="G219" s="148" t="s">
        <v>219</v>
      </c>
    </row>
    <row r="220" spans="1:7">
      <c r="A220" s="147">
        <v>2019</v>
      </c>
      <c r="B220" s="147" t="s">
        <v>225</v>
      </c>
      <c r="C220" s="148" t="s">
        <v>133</v>
      </c>
      <c r="D220" s="147" t="s">
        <v>59</v>
      </c>
      <c r="E220" s="147" t="s">
        <v>218</v>
      </c>
      <c r="F220" s="149">
        <v>0.31793663727414073</v>
      </c>
      <c r="G220" s="148" t="s">
        <v>219</v>
      </c>
    </row>
    <row r="221" spans="1:7">
      <c r="A221" s="147">
        <v>2020</v>
      </c>
      <c r="B221" s="147" t="s">
        <v>225</v>
      </c>
      <c r="C221" s="148" t="s">
        <v>133</v>
      </c>
      <c r="D221" s="147" t="s">
        <v>59</v>
      </c>
      <c r="E221" s="147" t="s">
        <v>218</v>
      </c>
      <c r="F221" s="149">
        <v>0.48070428920558606</v>
      </c>
      <c r="G221" s="148" t="s">
        <v>219</v>
      </c>
    </row>
    <row r="222" spans="1:7">
      <c r="A222" s="147">
        <v>2021</v>
      </c>
      <c r="B222" s="147" t="s">
        <v>225</v>
      </c>
      <c r="C222" s="148" t="s">
        <v>133</v>
      </c>
      <c r="D222" s="147" t="s">
        <v>59</v>
      </c>
      <c r="E222" s="147" t="s">
        <v>218</v>
      </c>
      <c r="F222" s="149">
        <v>0.45666973773935154</v>
      </c>
      <c r="G222" s="148" t="s">
        <v>219</v>
      </c>
    </row>
    <row r="223" spans="1:7">
      <c r="A223" s="147">
        <v>2022</v>
      </c>
      <c r="B223" s="147" t="s">
        <v>225</v>
      </c>
      <c r="C223" s="148" t="s">
        <v>133</v>
      </c>
      <c r="D223" s="147" t="s">
        <v>59</v>
      </c>
      <c r="E223" s="147" t="s">
        <v>218</v>
      </c>
      <c r="F223" s="149">
        <v>0.46970245273739913</v>
      </c>
      <c r="G223" s="148" t="s">
        <v>219</v>
      </c>
    </row>
    <row r="224" spans="1:7">
      <c r="A224" s="147" t="s">
        <v>185</v>
      </c>
      <c r="B224" s="147" t="s">
        <v>225</v>
      </c>
      <c r="C224" s="148" t="s">
        <v>133</v>
      </c>
      <c r="D224" s="147" t="s">
        <v>59</v>
      </c>
      <c r="E224" s="147" t="s">
        <v>218</v>
      </c>
      <c r="F224" s="149">
        <v>0.48393547801224945</v>
      </c>
      <c r="G224" s="148" t="s">
        <v>219</v>
      </c>
    </row>
    <row r="225" spans="1:7">
      <c r="A225" s="147" t="s">
        <v>107</v>
      </c>
      <c r="B225" s="147" t="s">
        <v>225</v>
      </c>
      <c r="C225" s="148" t="s">
        <v>133</v>
      </c>
      <c r="D225" s="147" t="s">
        <v>59</v>
      </c>
      <c r="E225" s="147" t="s">
        <v>218</v>
      </c>
      <c r="F225" s="149">
        <v>0.45571212415032908</v>
      </c>
      <c r="G225" s="148" t="s">
        <v>219</v>
      </c>
    </row>
    <row r="226" spans="1:7">
      <c r="A226" s="147">
        <v>2018</v>
      </c>
      <c r="B226" s="147" t="s">
        <v>225</v>
      </c>
      <c r="C226" s="148" t="s">
        <v>133</v>
      </c>
      <c r="D226" s="147" t="s">
        <v>66</v>
      </c>
      <c r="E226" s="147" t="s">
        <v>218</v>
      </c>
      <c r="F226" s="149">
        <v>2.2683930865732735</v>
      </c>
      <c r="G226" s="148" t="s">
        <v>219</v>
      </c>
    </row>
    <row r="227" spans="1:7">
      <c r="A227" s="147">
        <v>2019</v>
      </c>
      <c r="B227" s="147" t="s">
        <v>225</v>
      </c>
      <c r="C227" s="148" t="s">
        <v>133</v>
      </c>
      <c r="D227" s="147" t="s">
        <v>66</v>
      </c>
      <c r="E227" s="147" t="s">
        <v>218</v>
      </c>
      <c r="F227" s="149">
        <v>2.0375113746876132</v>
      </c>
      <c r="G227" s="148" t="s">
        <v>219</v>
      </c>
    </row>
    <row r="228" spans="1:7">
      <c r="A228" s="147">
        <v>2020</v>
      </c>
      <c r="B228" s="147" t="s">
        <v>225</v>
      </c>
      <c r="C228" s="148" t="s">
        <v>133</v>
      </c>
      <c r="D228" s="147" t="s">
        <v>66</v>
      </c>
      <c r="E228" s="147" t="s">
        <v>218</v>
      </c>
      <c r="F228" s="149">
        <v>1.0418655614739611</v>
      </c>
      <c r="G228" s="148" t="s">
        <v>219</v>
      </c>
    </row>
    <row r="229" spans="1:7">
      <c r="A229" s="147">
        <v>2021</v>
      </c>
      <c r="B229" s="147" t="s">
        <v>225</v>
      </c>
      <c r="C229" s="148" t="s">
        <v>133</v>
      </c>
      <c r="D229" s="147" t="s">
        <v>66</v>
      </c>
      <c r="E229" s="147" t="s">
        <v>218</v>
      </c>
      <c r="F229" s="149">
        <v>0.92623808490822113</v>
      </c>
      <c r="G229" s="148" t="s">
        <v>219</v>
      </c>
    </row>
    <row r="230" spans="1:7">
      <c r="A230" s="147">
        <v>2022</v>
      </c>
      <c r="B230" s="147" t="s">
        <v>225</v>
      </c>
      <c r="C230" s="148" t="s">
        <v>133</v>
      </c>
      <c r="D230" s="147" t="s">
        <v>66</v>
      </c>
      <c r="E230" s="147" t="s">
        <v>218</v>
      </c>
      <c r="F230" s="149">
        <v>1.2163126439559016</v>
      </c>
      <c r="G230" s="148" t="s">
        <v>219</v>
      </c>
    </row>
    <row r="231" spans="1:7">
      <c r="A231" s="147" t="s">
        <v>185</v>
      </c>
      <c r="B231" s="147" t="s">
        <v>225</v>
      </c>
      <c r="C231" s="148" t="s">
        <v>133</v>
      </c>
      <c r="D231" s="147" t="s">
        <v>66</v>
      </c>
      <c r="E231" s="147" t="s">
        <v>218</v>
      </c>
      <c r="F231" s="149">
        <v>2.0832895148811481</v>
      </c>
      <c r="G231" s="148" t="s">
        <v>219</v>
      </c>
    </row>
    <row r="232" spans="1:7">
      <c r="A232" s="147" t="s">
        <v>107</v>
      </c>
      <c r="B232" s="147" t="s">
        <v>225</v>
      </c>
      <c r="C232" s="148" t="s">
        <v>133</v>
      </c>
      <c r="D232" s="147" t="s">
        <v>66</v>
      </c>
      <c r="E232" s="147" t="s">
        <v>218</v>
      </c>
      <c r="F232" s="149">
        <v>2.4836990786539515</v>
      </c>
      <c r="G232" s="148" t="s">
        <v>219</v>
      </c>
    </row>
    <row r="233" spans="1:7">
      <c r="A233" s="147">
        <v>2018</v>
      </c>
      <c r="B233" s="147" t="s">
        <v>225</v>
      </c>
      <c r="C233" s="148" t="s">
        <v>133</v>
      </c>
      <c r="D233" s="147" t="s">
        <v>61</v>
      </c>
      <c r="E233" s="147" t="s">
        <v>218</v>
      </c>
      <c r="F233" s="149">
        <v>24.207657052440755</v>
      </c>
      <c r="G233" s="148" t="s">
        <v>219</v>
      </c>
    </row>
    <row r="234" spans="1:7">
      <c r="A234" s="147">
        <v>2019</v>
      </c>
      <c r="B234" s="147" t="s">
        <v>225</v>
      </c>
      <c r="C234" s="148" t="s">
        <v>133</v>
      </c>
      <c r="D234" s="147" t="s">
        <v>61</v>
      </c>
      <c r="E234" s="147" t="s">
        <v>218</v>
      </c>
      <c r="F234" s="149">
        <v>25.083241041933753</v>
      </c>
      <c r="G234" s="148" t="s">
        <v>219</v>
      </c>
    </row>
    <row r="235" spans="1:7">
      <c r="A235" s="147">
        <v>2020</v>
      </c>
      <c r="B235" s="147" t="s">
        <v>225</v>
      </c>
      <c r="C235" s="148" t="s">
        <v>133</v>
      </c>
      <c r="D235" s="147" t="s">
        <v>61</v>
      </c>
      <c r="E235" s="147" t="s">
        <v>218</v>
      </c>
      <c r="F235" s="149">
        <v>20.155205799328606</v>
      </c>
      <c r="G235" s="148" t="s">
        <v>219</v>
      </c>
    </row>
    <row r="236" spans="1:7">
      <c r="A236" s="147">
        <v>2021</v>
      </c>
      <c r="B236" s="147" t="s">
        <v>225</v>
      </c>
      <c r="C236" s="148" t="s">
        <v>133</v>
      </c>
      <c r="D236" s="147" t="s">
        <v>61</v>
      </c>
      <c r="E236" s="147" t="s">
        <v>218</v>
      </c>
      <c r="F236" s="149">
        <v>23.83292342663426</v>
      </c>
      <c r="G236" s="148" t="s">
        <v>219</v>
      </c>
    </row>
    <row r="237" spans="1:7">
      <c r="A237" s="147">
        <v>2022</v>
      </c>
      <c r="B237" s="147" t="s">
        <v>225</v>
      </c>
      <c r="C237" s="148" t="s">
        <v>133</v>
      </c>
      <c r="D237" s="147" t="s">
        <v>61</v>
      </c>
      <c r="E237" s="147" t="s">
        <v>218</v>
      </c>
      <c r="F237" s="149">
        <v>28.569735146604796</v>
      </c>
      <c r="G237" s="148" t="s">
        <v>219</v>
      </c>
    </row>
    <row r="238" spans="1:7">
      <c r="A238" s="147" t="s">
        <v>185</v>
      </c>
      <c r="B238" s="147" t="s">
        <v>225</v>
      </c>
      <c r="C238" s="148" t="s">
        <v>133</v>
      </c>
      <c r="D238" s="147" t="s">
        <v>61</v>
      </c>
      <c r="E238" s="147" t="s">
        <v>218</v>
      </c>
      <c r="F238" s="149">
        <v>23.866175950121786</v>
      </c>
      <c r="G238" s="148" t="s">
        <v>219</v>
      </c>
    </row>
    <row r="239" spans="1:7">
      <c r="A239" s="147" t="s">
        <v>107</v>
      </c>
      <c r="B239" s="147" t="s">
        <v>225</v>
      </c>
      <c r="C239" s="148" t="s">
        <v>133</v>
      </c>
      <c r="D239" s="147" t="s">
        <v>61</v>
      </c>
      <c r="E239" s="147" t="s">
        <v>218</v>
      </c>
      <c r="F239" s="149">
        <v>29.327671571648111</v>
      </c>
      <c r="G239" s="148" t="s">
        <v>219</v>
      </c>
    </row>
    <row r="240" spans="1:7">
      <c r="A240" s="147">
        <v>2018</v>
      </c>
      <c r="B240" s="147" t="s">
        <v>226</v>
      </c>
      <c r="C240" s="148" t="s">
        <v>133</v>
      </c>
      <c r="D240" s="147" t="s">
        <v>221</v>
      </c>
      <c r="E240" s="147" t="s">
        <v>218</v>
      </c>
      <c r="F240" s="149">
        <v>348.92790865688318</v>
      </c>
      <c r="G240" s="148" t="s">
        <v>219</v>
      </c>
    </row>
    <row r="241" spans="1:7">
      <c r="A241" s="147">
        <v>2019</v>
      </c>
      <c r="B241" s="147" t="s">
        <v>226</v>
      </c>
      <c r="C241" s="148" t="s">
        <v>133</v>
      </c>
      <c r="D241" s="147" t="s">
        <v>221</v>
      </c>
      <c r="E241" s="147" t="s">
        <v>218</v>
      </c>
      <c r="F241" s="149">
        <v>388.36421680619873</v>
      </c>
      <c r="G241" s="148" t="s">
        <v>219</v>
      </c>
    </row>
    <row r="242" spans="1:7">
      <c r="A242" s="147">
        <v>2020</v>
      </c>
      <c r="B242" s="147" t="s">
        <v>226</v>
      </c>
      <c r="C242" s="148" t="s">
        <v>133</v>
      </c>
      <c r="D242" s="147" t="s">
        <v>221</v>
      </c>
      <c r="E242" s="147" t="s">
        <v>218</v>
      </c>
      <c r="F242" s="149">
        <v>391.19764690039563</v>
      </c>
      <c r="G242" s="148" t="s">
        <v>219</v>
      </c>
    </row>
    <row r="243" spans="1:7">
      <c r="A243" s="147">
        <v>2021</v>
      </c>
      <c r="B243" s="147" t="s">
        <v>226</v>
      </c>
      <c r="C243" s="148" t="s">
        <v>133</v>
      </c>
      <c r="D243" s="147" t="s">
        <v>221</v>
      </c>
      <c r="E243" s="147" t="s">
        <v>218</v>
      </c>
      <c r="F243" s="149">
        <v>373.27598376189582</v>
      </c>
      <c r="G243" s="148" t="s">
        <v>219</v>
      </c>
    </row>
    <row r="244" spans="1:7">
      <c r="A244" s="147">
        <v>2022</v>
      </c>
      <c r="B244" s="147" t="s">
        <v>226</v>
      </c>
      <c r="C244" s="148" t="s">
        <v>133</v>
      </c>
      <c r="D244" s="147" t="s">
        <v>221</v>
      </c>
      <c r="E244" s="147" t="s">
        <v>218</v>
      </c>
      <c r="F244" s="149">
        <v>367.63208367301377</v>
      </c>
      <c r="G244" s="148" t="s">
        <v>219</v>
      </c>
    </row>
    <row r="245" spans="1:7">
      <c r="A245" s="147" t="s">
        <v>185</v>
      </c>
      <c r="B245" s="147" t="s">
        <v>226</v>
      </c>
      <c r="C245" s="148" t="s">
        <v>133</v>
      </c>
      <c r="D245" s="147" t="s">
        <v>221</v>
      </c>
      <c r="E245" s="147" t="s">
        <v>218</v>
      </c>
      <c r="F245" s="149">
        <v>362.22156180726336</v>
      </c>
      <c r="G245" s="148" t="s">
        <v>219</v>
      </c>
    </row>
    <row r="246" spans="1:7">
      <c r="A246" s="147" t="s">
        <v>107</v>
      </c>
      <c r="B246" s="147" t="s">
        <v>226</v>
      </c>
      <c r="C246" s="148" t="s">
        <v>133</v>
      </c>
      <c r="D246" s="147" t="s">
        <v>221</v>
      </c>
      <c r="E246" s="147" t="s">
        <v>218</v>
      </c>
      <c r="F246" s="149">
        <v>386.11971831586447</v>
      </c>
      <c r="G246" s="148" t="s">
        <v>219</v>
      </c>
    </row>
    <row r="247" spans="1:7">
      <c r="A247" s="147">
        <v>2018</v>
      </c>
      <c r="B247" s="147" t="s">
        <v>227</v>
      </c>
      <c r="C247" s="148" t="s">
        <v>133</v>
      </c>
      <c r="D247" s="147" t="s">
        <v>148</v>
      </c>
      <c r="E247" s="147" t="s">
        <v>218</v>
      </c>
      <c r="F247" s="149">
        <v>2122.055914904583</v>
      </c>
      <c r="G247" s="148" t="s">
        <v>219</v>
      </c>
    </row>
    <row r="248" spans="1:7">
      <c r="A248" s="147">
        <v>2019</v>
      </c>
      <c r="B248" s="147" t="s">
        <v>227</v>
      </c>
      <c r="C248" s="148" t="s">
        <v>133</v>
      </c>
      <c r="D248" s="147" t="s">
        <v>148</v>
      </c>
      <c r="E248" s="147" t="s">
        <v>218</v>
      </c>
      <c r="F248" s="149">
        <v>2051.688997575488</v>
      </c>
      <c r="G248" s="148" t="s">
        <v>219</v>
      </c>
    </row>
    <row r="249" spans="1:7">
      <c r="A249" s="147">
        <v>2020</v>
      </c>
      <c r="B249" s="147" t="s">
        <v>227</v>
      </c>
      <c r="C249" s="148" t="s">
        <v>133</v>
      </c>
      <c r="D249" s="147" t="s">
        <v>148</v>
      </c>
      <c r="E249" s="147" t="s">
        <v>218</v>
      </c>
      <c r="F249" s="149">
        <v>1647.4589508127058</v>
      </c>
      <c r="G249" s="148" t="s">
        <v>219</v>
      </c>
    </row>
    <row r="250" spans="1:7">
      <c r="A250" s="147">
        <v>2021</v>
      </c>
      <c r="B250" s="147" t="s">
        <v>227</v>
      </c>
      <c r="C250" s="148" t="s">
        <v>133</v>
      </c>
      <c r="D250" s="147" t="s">
        <v>148</v>
      </c>
      <c r="E250" s="147" t="s">
        <v>218</v>
      </c>
      <c r="F250" s="149">
        <v>2057.2838282655725</v>
      </c>
      <c r="G250" s="148" t="s">
        <v>219</v>
      </c>
    </row>
    <row r="251" spans="1:7">
      <c r="A251" s="147">
        <v>2022</v>
      </c>
      <c r="B251" s="147" t="s">
        <v>227</v>
      </c>
      <c r="C251" s="148" t="s">
        <v>133</v>
      </c>
      <c r="D251" s="147" t="s">
        <v>148</v>
      </c>
      <c r="E251" s="147" t="s">
        <v>218</v>
      </c>
      <c r="F251" s="149">
        <v>2163.6723434028177</v>
      </c>
      <c r="G251" s="148" t="s">
        <v>219</v>
      </c>
    </row>
    <row r="252" spans="1:7">
      <c r="A252" s="147" t="s">
        <v>185</v>
      </c>
      <c r="B252" s="147" t="s">
        <v>227</v>
      </c>
      <c r="C252" s="148" t="s">
        <v>133</v>
      </c>
      <c r="D252" s="147" t="s">
        <v>148</v>
      </c>
      <c r="E252" s="147" t="s">
        <v>218</v>
      </c>
      <c r="F252" s="149">
        <v>2201.8758429289378</v>
      </c>
      <c r="G252" s="148" t="s">
        <v>219</v>
      </c>
    </row>
    <row r="253" spans="1:7">
      <c r="A253" s="147" t="s">
        <v>107</v>
      </c>
      <c r="B253" s="147" t="s">
        <v>227</v>
      </c>
      <c r="C253" s="148" t="s">
        <v>133</v>
      </c>
      <c r="D253" s="147" t="s">
        <v>148</v>
      </c>
      <c r="E253" s="147" t="s">
        <v>218</v>
      </c>
      <c r="F253" s="149">
        <v>2345.1883107738277</v>
      </c>
      <c r="G253" s="148" t="s">
        <v>219</v>
      </c>
    </row>
    <row r="254" spans="1:7">
      <c r="A254" s="147">
        <v>2018</v>
      </c>
      <c r="B254" s="147" t="s">
        <v>228</v>
      </c>
      <c r="C254" s="148" t="s">
        <v>133</v>
      </c>
      <c r="D254" s="147" t="s">
        <v>149</v>
      </c>
      <c r="E254" s="147" t="s">
        <v>218</v>
      </c>
      <c r="F254" s="149">
        <v>73.198953813742975</v>
      </c>
      <c r="G254" s="148" t="s">
        <v>219</v>
      </c>
    </row>
    <row r="255" spans="1:7">
      <c r="A255" s="147">
        <v>2019</v>
      </c>
      <c r="B255" s="147" t="s">
        <v>228</v>
      </c>
      <c r="C255" s="148" t="s">
        <v>133</v>
      </c>
      <c r="D255" s="147" t="s">
        <v>149</v>
      </c>
      <c r="E255" s="147" t="s">
        <v>218</v>
      </c>
      <c r="F255" s="149">
        <v>70.072509151165761</v>
      </c>
      <c r="G255" s="148" t="s">
        <v>219</v>
      </c>
    </row>
    <row r="256" spans="1:7">
      <c r="A256" s="147">
        <v>2020</v>
      </c>
      <c r="B256" s="147" t="s">
        <v>228</v>
      </c>
      <c r="C256" s="148" t="s">
        <v>133</v>
      </c>
      <c r="D256" s="147" t="s">
        <v>149</v>
      </c>
      <c r="E256" s="147" t="s">
        <v>218</v>
      </c>
      <c r="F256" s="149">
        <v>44.501743125864785</v>
      </c>
      <c r="G256" s="148" t="s">
        <v>219</v>
      </c>
    </row>
    <row r="257" spans="1:7">
      <c r="A257" s="147">
        <v>2021</v>
      </c>
      <c r="B257" s="147" t="s">
        <v>228</v>
      </c>
      <c r="C257" s="148" t="s">
        <v>133</v>
      </c>
      <c r="D257" s="147" t="s">
        <v>149</v>
      </c>
      <c r="E257" s="147" t="s">
        <v>218</v>
      </c>
      <c r="F257" s="149">
        <v>55.149499821073533</v>
      </c>
      <c r="G257" s="148" t="s">
        <v>219</v>
      </c>
    </row>
    <row r="258" spans="1:7">
      <c r="A258" s="147">
        <v>2022</v>
      </c>
      <c r="B258" s="147" t="s">
        <v>228</v>
      </c>
      <c r="C258" s="148" t="s">
        <v>133</v>
      </c>
      <c r="D258" s="147" t="s">
        <v>149</v>
      </c>
      <c r="E258" s="147" t="s">
        <v>218</v>
      </c>
      <c r="F258" s="149">
        <v>62.898893443271753</v>
      </c>
      <c r="G258" s="148" t="s">
        <v>219</v>
      </c>
    </row>
    <row r="259" spans="1:7">
      <c r="A259" s="147" t="s">
        <v>185</v>
      </c>
      <c r="B259" s="147" t="s">
        <v>228</v>
      </c>
      <c r="C259" s="148" t="s">
        <v>133</v>
      </c>
      <c r="D259" s="147" t="s">
        <v>149</v>
      </c>
      <c r="E259" s="147" t="s">
        <v>218</v>
      </c>
      <c r="F259" s="149">
        <v>64.851985005518202</v>
      </c>
      <c r="G259" s="148" t="s">
        <v>219</v>
      </c>
    </row>
    <row r="260" spans="1:7">
      <c r="A260" s="147" t="s">
        <v>107</v>
      </c>
      <c r="B260" s="147" t="s">
        <v>228</v>
      </c>
      <c r="C260" s="148" t="s">
        <v>133</v>
      </c>
      <c r="D260" s="147" t="s">
        <v>149</v>
      </c>
      <c r="E260" s="147" t="s">
        <v>218</v>
      </c>
      <c r="F260" s="149">
        <v>67.652877824442285</v>
      </c>
      <c r="G260" s="148" t="s">
        <v>219</v>
      </c>
    </row>
    <row r="261" spans="1:7">
      <c r="A261" s="147">
        <v>2018</v>
      </c>
      <c r="B261" s="147" t="s">
        <v>229</v>
      </c>
      <c r="C261" s="148" t="s">
        <v>133</v>
      </c>
      <c r="D261" s="147" t="s">
        <v>136</v>
      </c>
      <c r="E261" s="147" t="s">
        <v>218</v>
      </c>
      <c r="F261" s="149">
        <v>2195.2548687183262</v>
      </c>
      <c r="G261" s="148" t="s">
        <v>219</v>
      </c>
    </row>
    <row r="262" spans="1:7">
      <c r="A262" s="147">
        <v>2019</v>
      </c>
      <c r="B262" s="147" t="s">
        <v>229</v>
      </c>
      <c r="C262" s="148" t="s">
        <v>133</v>
      </c>
      <c r="D262" s="147" t="s">
        <v>136</v>
      </c>
      <c r="E262" s="147" t="s">
        <v>218</v>
      </c>
      <c r="F262" s="149">
        <v>2121.7615067266538</v>
      </c>
      <c r="G262" s="148" t="s">
        <v>219</v>
      </c>
    </row>
    <row r="263" spans="1:7">
      <c r="A263" s="147">
        <v>2020</v>
      </c>
      <c r="B263" s="147" t="s">
        <v>229</v>
      </c>
      <c r="C263" s="148" t="s">
        <v>133</v>
      </c>
      <c r="D263" s="147" t="s">
        <v>136</v>
      </c>
      <c r="E263" s="147" t="s">
        <v>218</v>
      </c>
      <c r="F263" s="149">
        <v>1692.5544613076092</v>
      </c>
      <c r="G263" s="148" t="s">
        <v>219</v>
      </c>
    </row>
    <row r="264" spans="1:7">
      <c r="A264" s="147">
        <v>2021</v>
      </c>
      <c r="B264" s="147" t="s">
        <v>229</v>
      </c>
      <c r="C264" s="148" t="s">
        <v>133</v>
      </c>
      <c r="D264" s="147" t="s">
        <v>136</v>
      </c>
      <c r="E264" s="147" t="s">
        <v>218</v>
      </c>
      <c r="F264" s="149">
        <v>2113.1895788965871</v>
      </c>
      <c r="G264" s="148" t="s">
        <v>219</v>
      </c>
    </row>
    <row r="265" spans="1:7">
      <c r="A265" s="147">
        <v>2022</v>
      </c>
      <c r="B265" s="147" t="s">
        <v>229</v>
      </c>
      <c r="C265" s="148" t="s">
        <v>133</v>
      </c>
      <c r="D265" s="147" t="s">
        <v>136</v>
      </c>
      <c r="E265" s="147" t="s">
        <v>218</v>
      </c>
      <c r="F265" s="149">
        <v>2227.297424237096</v>
      </c>
      <c r="G265" s="148" t="s">
        <v>219</v>
      </c>
    </row>
    <row r="266" spans="1:7">
      <c r="A266" s="147" t="s">
        <v>185</v>
      </c>
      <c r="B266" s="147" t="s">
        <v>229</v>
      </c>
      <c r="C266" s="148" t="s">
        <v>133</v>
      </c>
      <c r="D266" s="147" t="s">
        <v>136</v>
      </c>
      <c r="E266" s="147" t="s">
        <v>218</v>
      </c>
      <c r="F266" s="149">
        <v>2267.4689604852797</v>
      </c>
      <c r="G266" s="148" t="s">
        <v>219</v>
      </c>
    </row>
    <row r="267" spans="1:7">
      <c r="A267" s="147" t="s">
        <v>107</v>
      </c>
      <c r="B267" s="147" t="s">
        <v>229</v>
      </c>
      <c r="C267" s="148" t="s">
        <v>133</v>
      </c>
      <c r="D267" s="147" t="s">
        <v>136</v>
      </c>
      <c r="E267" s="147" t="s">
        <v>218</v>
      </c>
      <c r="F267" s="149">
        <v>2413.723220871163</v>
      </c>
      <c r="G267" s="148" t="s">
        <v>219</v>
      </c>
    </row>
    <row r="268" spans="1:7">
      <c r="A268" s="147">
        <v>2018</v>
      </c>
      <c r="B268" s="147" t="s">
        <v>230</v>
      </c>
      <c r="C268" s="148" t="s">
        <v>133</v>
      </c>
      <c r="D268" s="147" t="s">
        <v>0</v>
      </c>
      <c r="E268" s="147" t="s">
        <v>218</v>
      </c>
      <c r="F268" s="149">
        <v>42.342861767637004</v>
      </c>
      <c r="G268" s="148" t="s">
        <v>219</v>
      </c>
    </row>
    <row r="269" spans="1:7">
      <c r="A269" s="147">
        <v>2019</v>
      </c>
      <c r="B269" s="147" t="s">
        <v>230</v>
      </c>
      <c r="C269" s="148" t="s">
        <v>133</v>
      </c>
      <c r="D269" s="147" t="s">
        <v>0</v>
      </c>
      <c r="E269" s="147" t="s">
        <v>218</v>
      </c>
      <c r="F269" s="149">
        <v>43.841206019055889</v>
      </c>
      <c r="G269" s="148" t="s">
        <v>219</v>
      </c>
    </row>
    <row r="270" spans="1:7">
      <c r="A270" s="147">
        <v>2020</v>
      </c>
      <c r="B270" s="147" t="s">
        <v>230</v>
      </c>
      <c r="C270" s="148" t="s">
        <v>133</v>
      </c>
      <c r="D270" s="147" t="s">
        <v>0</v>
      </c>
      <c r="E270" s="147" t="s">
        <v>218</v>
      </c>
      <c r="F270" s="149">
        <v>50.268132667352177</v>
      </c>
      <c r="G270" s="148" t="s">
        <v>219</v>
      </c>
    </row>
    <row r="271" spans="1:7">
      <c r="A271" s="147">
        <v>2021</v>
      </c>
      <c r="B271" s="147" t="s">
        <v>230</v>
      </c>
      <c r="C271" s="148" t="s">
        <v>133</v>
      </c>
      <c r="D271" s="147" t="s">
        <v>0</v>
      </c>
      <c r="E271" s="147" t="s">
        <v>218</v>
      </c>
      <c r="F271" s="149">
        <v>50.876794591286497</v>
      </c>
      <c r="G271" s="148" t="s">
        <v>219</v>
      </c>
    </row>
    <row r="272" spans="1:7">
      <c r="A272" s="147">
        <v>2022</v>
      </c>
      <c r="B272" s="147" t="s">
        <v>230</v>
      </c>
      <c r="C272" s="148" t="s">
        <v>133</v>
      </c>
      <c r="D272" s="147" t="s">
        <v>0</v>
      </c>
      <c r="E272" s="147" t="s">
        <v>218</v>
      </c>
      <c r="F272" s="149">
        <v>47.017742997917011</v>
      </c>
      <c r="G272" s="148" t="s">
        <v>219</v>
      </c>
    </row>
    <row r="273" spans="1:7">
      <c r="A273" s="147" t="s">
        <v>185</v>
      </c>
      <c r="B273" s="147" t="s">
        <v>230</v>
      </c>
      <c r="C273" s="148" t="s">
        <v>133</v>
      </c>
      <c r="D273" s="147" t="s">
        <v>0</v>
      </c>
      <c r="E273" s="147" t="s">
        <v>218</v>
      </c>
      <c r="F273" s="149">
        <v>47.137879687423613</v>
      </c>
      <c r="G273" s="148" t="s">
        <v>219</v>
      </c>
    </row>
    <row r="274" spans="1:7">
      <c r="A274" s="147" t="s">
        <v>107</v>
      </c>
      <c r="B274" s="147" t="s">
        <v>230</v>
      </c>
      <c r="C274" s="148" t="s">
        <v>133</v>
      </c>
      <c r="D274" s="147" t="s">
        <v>0</v>
      </c>
      <c r="E274" s="147" t="s">
        <v>218</v>
      </c>
      <c r="F274" s="149">
        <v>50.696898863067652</v>
      </c>
      <c r="G274" s="148" t="s">
        <v>219</v>
      </c>
    </row>
    <row r="275" spans="1:7">
      <c r="A275" s="147">
        <v>2018</v>
      </c>
      <c r="B275" s="147" t="s">
        <v>230</v>
      </c>
      <c r="C275" s="148" t="s">
        <v>133</v>
      </c>
      <c r="D275" s="147" t="s">
        <v>1</v>
      </c>
      <c r="E275" s="147" t="s">
        <v>218</v>
      </c>
      <c r="F275" s="149">
        <v>243.98619539473171</v>
      </c>
      <c r="G275" s="148" t="s">
        <v>219</v>
      </c>
    </row>
    <row r="276" spans="1:7">
      <c r="A276" s="147">
        <v>2019</v>
      </c>
      <c r="B276" s="147" t="s">
        <v>230</v>
      </c>
      <c r="C276" s="148" t="s">
        <v>133</v>
      </c>
      <c r="D276" s="147" t="s">
        <v>1</v>
      </c>
      <c r="E276" s="147" t="s">
        <v>218</v>
      </c>
      <c r="F276" s="149">
        <v>383.99042853104868</v>
      </c>
      <c r="G276" s="148" t="s">
        <v>219</v>
      </c>
    </row>
    <row r="277" spans="1:7">
      <c r="A277" s="147">
        <v>2020</v>
      </c>
      <c r="B277" s="147" t="s">
        <v>230</v>
      </c>
      <c r="C277" s="148" t="s">
        <v>133</v>
      </c>
      <c r="D277" s="147" t="s">
        <v>1</v>
      </c>
      <c r="E277" s="147" t="s">
        <v>218</v>
      </c>
      <c r="F277" s="149">
        <v>1013.0080393342901</v>
      </c>
      <c r="G277" s="148" t="s">
        <v>219</v>
      </c>
    </row>
    <row r="278" spans="1:7">
      <c r="A278" s="147">
        <v>2021</v>
      </c>
      <c r="B278" s="147" t="s">
        <v>230</v>
      </c>
      <c r="C278" s="148" t="s">
        <v>133</v>
      </c>
      <c r="D278" s="147" t="s">
        <v>1</v>
      </c>
      <c r="E278" s="147" t="s">
        <v>218</v>
      </c>
      <c r="F278" s="149">
        <v>2252.4319814984028</v>
      </c>
      <c r="G278" s="148" t="s">
        <v>219</v>
      </c>
    </row>
    <row r="279" spans="1:7">
      <c r="A279" s="147">
        <v>2022</v>
      </c>
      <c r="B279" s="147" t="s">
        <v>230</v>
      </c>
      <c r="C279" s="148" t="s">
        <v>133</v>
      </c>
      <c r="D279" s="147" t="s">
        <v>1</v>
      </c>
      <c r="E279" s="147" t="s">
        <v>218</v>
      </c>
      <c r="F279" s="149">
        <v>2309.7825885834109</v>
      </c>
      <c r="G279" s="148" t="s">
        <v>219</v>
      </c>
    </row>
    <row r="280" spans="1:7">
      <c r="A280" s="147" t="s">
        <v>185</v>
      </c>
      <c r="B280" s="147" t="s">
        <v>230</v>
      </c>
      <c r="C280" s="148" t="s">
        <v>133</v>
      </c>
      <c r="D280" s="147" t="s">
        <v>1</v>
      </c>
      <c r="E280" s="147" t="s">
        <v>218</v>
      </c>
      <c r="F280" s="149">
        <v>1911.3560579031143</v>
      </c>
      <c r="G280" s="148" t="s">
        <v>219</v>
      </c>
    </row>
    <row r="281" spans="1:7">
      <c r="A281" s="147" t="s">
        <v>107</v>
      </c>
      <c r="B281" s="147" t="s">
        <v>230</v>
      </c>
      <c r="C281" s="148" t="s">
        <v>133</v>
      </c>
      <c r="D281" s="147" t="s">
        <v>1</v>
      </c>
      <c r="E281" s="147" t="s">
        <v>218</v>
      </c>
      <c r="F281" s="149">
        <v>30.447173098516402</v>
      </c>
      <c r="G281" s="148" t="s">
        <v>219</v>
      </c>
    </row>
    <row r="282" spans="1:7">
      <c r="A282" s="147">
        <v>2018</v>
      </c>
      <c r="B282" s="147" t="s">
        <v>230</v>
      </c>
      <c r="C282" s="148" t="s">
        <v>133</v>
      </c>
      <c r="D282" s="147" t="s">
        <v>2</v>
      </c>
      <c r="E282" s="147" t="s">
        <v>218</v>
      </c>
      <c r="F282" s="149">
        <v>94.687532116390855</v>
      </c>
      <c r="G282" s="148" t="s">
        <v>219</v>
      </c>
    </row>
    <row r="283" spans="1:7">
      <c r="A283" s="147">
        <v>2019</v>
      </c>
      <c r="B283" s="147" t="s">
        <v>230</v>
      </c>
      <c r="C283" s="148" t="s">
        <v>133</v>
      </c>
      <c r="D283" s="147" t="s">
        <v>2</v>
      </c>
      <c r="E283" s="147" t="s">
        <v>218</v>
      </c>
      <c r="F283" s="149">
        <v>84.597687005013483</v>
      </c>
      <c r="G283" s="148" t="s">
        <v>219</v>
      </c>
    </row>
    <row r="284" spans="1:7">
      <c r="A284" s="147">
        <v>2020</v>
      </c>
      <c r="B284" s="147" t="s">
        <v>230</v>
      </c>
      <c r="C284" s="148" t="s">
        <v>133</v>
      </c>
      <c r="D284" s="147" t="s">
        <v>2</v>
      </c>
      <c r="E284" s="147" t="s">
        <v>218</v>
      </c>
      <c r="F284" s="149">
        <v>68.632834137382474</v>
      </c>
      <c r="G284" s="148" t="s">
        <v>219</v>
      </c>
    </row>
    <row r="285" spans="1:7">
      <c r="A285" s="147">
        <v>2021</v>
      </c>
      <c r="B285" s="147" t="s">
        <v>230</v>
      </c>
      <c r="C285" s="148" t="s">
        <v>133</v>
      </c>
      <c r="D285" s="147" t="s">
        <v>2</v>
      </c>
      <c r="E285" s="147" t="s">
        <v>218</v>
      </c>
      <c r="F285" s="149">
        <v>78.010428606125345</v>
      </c>
      <c r="G285" s="148" t="s">
        <v>219</v>
      </c>
    </row>
    <row r="286" spans="1:7">
      <c r="A286" s="147">
        <v>2022</v>
      </c>
      <c r="B286" s="147" t="s">
        <v>230</v>
      </c>
      <c r="C286" s="148" t="s">
        <v>133</v>
      </c>
      <c r="D286" s="147" t="s">
        <v>2</v>
      </c>
      <c r="E286" s="147" t="s">
        <v>218</v>
      </c>
      <c r="F286" s="149">
        <v>88.76184595230572</v>
      </c>
      <c r="G286" s="148" t="s">
        <v>219</v>
      </c>
    </row>
    <row r="287" spans="1:7">
      <c r="A287" s="147" t="s">
        <v>185</v>
      </c>
      <c r="B287" s="147" t="s">
        <v>230</v>
      </c>
      <c r="C287" s="148" t="s">
        <v>133</v>
      </c>
      <c r="D287" s="147" t="s">
        <v>2</v>
      </c>
      <c r="E287" s="147" t="s">
        <v>218</v>
      </c>
      <c r="F287" s="149">
        <v>81.064248876212474</v>
      </c>
      <c r="G287" s="148" t="s">
        <v>219</v>
      </c>
    </row>
    <row r="288" spans="1:7">
      <c r="A288" s="147" t="s">
        <v>107</v>
      </c>
      <c r="B288" s="147" t="s">
        <v>230</v>
      </c>
      <c r="C288" s="148" t="s">
        <v>133</v>
      </c>
      <c r="D288" s="147" t="s">
        <v>2</v>
      </c>
      <c r="E288" s="147" t="s">
        <v>218</v>
      </c>
      <c r="F288" s="149">
        <v>75.478972149405706</v>
      </c>
      <c r="G288" s="148" t="s">
        <v>219</v>
      </c>
    </row>
    <row r="289" spans="1:7">
      <c r="A289" s="147">
        <v>2018</v>
      </c>
      <c r="B289" s="147" t="s">
        <v>230</v>
      </c>
      <c r="C289" s="148" t="s">
        <v>133</v>
      </c>
      <c r="D289" s="147" t="s">
        <v>68</v>
      </c>
      <c r="E289" s="147" t="s">
        <v>218</v>
      </c>
      <c r="F289" s="149">
        <v>144.64234870097391</v>
      </c>
      <c r="G289" s="148" t="s">
        <v>219</v>
      </c>
    </row>
    <row r="290" spans="1:7">
      <c r="A290" s="147">
        <v>2019</v>
      </c>
      <c r="B290" s="147" t="s">
        <v>230</v>
      </c>
      <c r="C290" s="148" t="s">
        <v>133</v>
      </c>
      <c r="D290" s="147" t="s">
        <v>68</v>
      </c>
      <c r="E290" s="147" t="s">
        <v>218</v>
      </c>
      <c r="F290" s="149">
        <v>320.45349693751444</v>
      </c>
      <c r="G290" s="148" t="s">
        <v>219</v>
      </c>
    </row>
    <row r="291" spans="1:7">
      <c r="A291" s="147">
        <v>2020</v>
      </c>
      <c r="B291" s="147" t="s">
        <v>230</v>
      </c>
      <c r="C291" s="148" t="s">
        <v>133</v>
      </c>
      <c r="D291" s="147" t="s">
        <v>68</v>
      </c>
      <c r="E291" s="147" t="s">
        <v>218</v>
      </c>
      <c r="F291" s="149">
        <v>174.3801369185741</v>
      </c>
      <c r="G291" s="148" t="s">
        <v>219</v>
      </c>
    </row>
    <row r="292" spans="1:7">
      <c r="A292" s="147">
        <v>2021</v>
      </c>
      <c r="B292" s="147" t="s">
        <v>230</v>
      </c>
      <c r="C292" s="148" t="s">
        <v>133</v>
      </c>
      <c r="D292" s="147" t="s">
        <v>68</v>
      </c>
      <c r="E292" s="147" t="s">
        <v>218</v>
      </c>
      <c r="F292" s="149">
        <v>191.66475661678226</v>
      </c>
      <c r="G292" s="148" t="s">
        <v>219</v>
      </c>
    </row>
    <row r="293" spans="1:7">
      <c r="A293" s="147">
        <v>2022</v>
      </c>
      <c r="B293" s="147" t="s">
        <v>230</v>
      </c>
      <c r="C293" s="148" t="s">
        <v>133</v>
      </c>
      <c r="D293" s="147" t="s">
        <v>68</v>
      </c>
      <c r="E293" s="147" t="s">
        <v>218</v>
      </c>
      <c r="F293" s="149">
        <v>191.14475246675656</v>
      </c>
      <c r="G293" s="148" t="s">
        <v>219</v>
      </c>
    </row>
    <row r="294" spans="1:7">
      <c r="A294" s="147" t="s">
        <v>185</v>
      </c>
      <c r="B294" s="147" t="s">
        <v>230</v>
      </c>
      <c r="C294" s="148" t="s">
        <v>133</v>
      </c>
      <c r="D294" s="147" t="s">
        <v>68</v>
      </c>
      <c r="E294" s="147" t="s">
        <v>218</v>
      </c>
      <c r="F294" s="149">
        <v>304.03128648956363</v>
      </c>
      <c r="G294" s="148" t="s">
        <v>219</v>
      </c>
    </row>
    <row r="295" spans="1:7">
      <c r="A295" s="147" t="s">
        <v>107</v>
      </c>
      <c r="B295" s="147" t="s">
        <v>230</v>
      </c>
      <c r="C295" s="148" t="s">
        <v>133</v>
      </c>
      <c r="D295" s="147" t="s">
        <v>68</v>
      </c>
      <c r="E295" s="147" t="s">
        <v>218</v>
      </c>
      <c r="F295" s="149">
        <v>274.90787971652202</v>
      </c>
      <c r="G295" s="148" t="s">
        <v>219</v>
      </c>
    </row>
    <row r="296" spans="1:7">
      <c r="A296" s="147">
        <v>2018</v>
      </c>
      <c r="B296" s="147" t="s">
        <v>230</v>
      </c>
      <c r="C296" s="148" t="s">
        <v>133</v>
      </c>
      <c r="D296" s="147" t="s">
        <v>4</v>
      </c>
      <c r="E296" s="147" t="s">
        <v>218</v>
      </c>
      <c r="F296" s="149">
        <v>3319.4490808176965</v>
      </c>
      <c r="G296" s="148" t="s">
        <v>219</v>
      </c>
    </row>
    <row r="297" spans="1:7">
      <c r="A297" s="147">
        <v>2019</v>
      </c>
      <c r="B297" s="147" t="s">
        <v>230</v>
      </c>
      <c r="C297" s="148" t="s">
        <v>133</v>
      </c>
      <c r="D297" s="147" t="s">
        <v>4</v>
      </c>
      <c r="E297" s="147" t="s">
        <v>218</v>
      </c>
      <c r="F297" s="149">
        <v>2879.1386898913943</v>
      </c>
      <c r="G297" s="148" t="s">
        <v>219</v>
      </c>
    </row>
    <row r="298" spans="1:7">
      <c r="A298" s="147">
        <v>2020</v>
      </c>
      <c r="B298" s="147" t="s">
        <v>230</v>
      </c>
      <c r="C298" s="148" t="s">
        <v>133</v>
      </c>
      <c r="D298" s="147" t="s">
        <v>4</v>
      </c>
      <c r="E298" s="147" t="s">
        <v>218</v>
      </c>
      <c r="F298" s="149">
        <v>1210.3521639423345</v>
      </c>
      <c r="G298" s="148" t="s">
        <v>219</v>
      </c>
    </row>
    <row r="299" spans="1:7">
      <c r="A299" s="147">
        <v>2021</v>
      </c>
      <c r="B299" s="147" t="s">
        <v>230</v>
      </c>
      <c r="C299" s="148" t="s">
        <v>133</v>
      </c>
      <c r="D299" s="147" t="s">
        <v>4</v>
      </c>
      <c r="E299" s="147" t="s">
        <v>218</v>
      </c>
      <c r="F299" s="149">
        <v>1351.2963194404667</v>
      </c>
      <c r="G299" s="148" t="s">
        <v>219</v>
      </c>
    </row>
    <row r="300" spans="1:7">
      <c r="A300" s="147">
        <v>2022</v>
      </c>
      <c r="B300" s="147" t="s">
        <v>230</v>
      </c>
      <c r="C300" s="148" t="s">
        <v>133</v>
      </c>
      <c r="D300" s="147" t="s">
        <v>4</v>
      </c>
      <c r="E300" s="147" t="s">
        <v>218</v>
      </c>
      <c r="F300" s="149">
        <v>2463.8736161904517</v>
      </c>
      <c r="G300" s="148" t="s">
        <v>219</v>
      </c>
    </row>
    <row r="301" spans="1:7">
      <c r="A301" s="147" t="s">
        <v>185</v>
      </c>
      <c r="B301" s="147" t="s">
        <v>230</v>
      </c>
      <c r="C301" s="148" t="s">
        <v>133</v>
      </c>
      <c r="D301" s="147" t="s">
        <v>4</v>
      </c>
      <c r="E301" s="147" t="s">
        <v>218</v>
      </c>
      <c r="F301" s="149">
        <v>1739.9989069222534</v>
      </c>
      <c r="G301" s="148" t="s">
        <v>219</v>
      </c>
    </row>
    <row r="302" spans="1:7">
      <c r="A302" s="147" t="s">
        <v>107</v>
      </c>
      <c r="B302" s="147" t="s">
        <v>230</v>
      </c>
      <c r="C302" s="148" t="s">
        <v>133</v>
      </c>
      <c r="D302" s="147" t="s">
        <v>4</v>
      </c>
      <c r="E302" s="147" t="s">
        <v>218</v>
      </c>
      <c r="F302" s="149">
        <v>296.80389649353043</v>
      </c>
      <c r="G302" s="148" t="s">
        <v>219</v>
      </c>
    </row>
    <row r="303" spans="1:7">
      <c r="A303" s="147">
        <v>2018</v>
      </c>
      <c r="B303" s="147" t="s">
        <v>230</v>
      </c>
      <c r="C303" s="148" t="s">
        <v>133</v>
      </c>
      <c r="D303" s="147" t="s">
        <v>5</v>
      </c>
      <c r="E303" s="147" t="s">
        <v>218</v>
      </c>
      <c r="F303" s="149">
        <v>3771.6943344221145</v>
      </c>
      <c r="G303" s="148" t="s">
        <v>219</v>
      </c>
    </row>
    <row r="304" spans="1:7">
      <c r="A304" s="147">
        <v>2019</v>
      </c>
      <c r="B304" s="147" t="s">
        <v>230</v>
      </c>
      <c r="C304" s="148" t="s">
        <v>133</v>
      </c>
      <c r="D304" s="147" t="s">
        <v>5</v>
      </c>
      <c r="E304" s="147" t="s">
        <v>218</v>
      </c>
      <c r="F304" s="149">
        <v>3815.219184459696</v>
      </c>
      <c r="G304" s="148" t="s">
        <v>219</v>
      </c>
    </row>
    <row r="305" spans="1:7">
      <c r="A305" s="147">
        <v>2020</v>
      </c>
      <c r="B305" s="147" t="s">
        <v>230</v>
      </c>
      <c r="C305" s="148" t="s">
        <v>133</v>
      </c>
      <c r="D305" s="147" t="s">
        <v>5</v>
      </c>
      <c r="E305" s="147" t="s">
        <v>218</v>
      </c>
      <c r="F305" s="149">
        <v>3623.14979212654</v>
      </c>
      <c r="G305" s="148" t="s">
        <v>219</v>
      </c>
    </row>
    <row r="306" spans="1:7">
      <c r="A306" s="147">
        <v>2021</v>
      </c>
      <c r="B306" s="147" t="s">
        <v>230</v>
      </c>
      <c r="C306" s="148" t="s">
        <v>133</v>
      </c>
      <c r="D306" s="147" t="s">
        <v>5</v>
      </c>
      <c r="E306" s="147" t="s">
        <v>218</v>
      </c>
      <c r="F306" s="149">
        <v>3357.9653704669549</v>
      </c>
      <c r="G306" s="148" t="s">
        <v>219</v>
      </c>
    </row>
    <row r="307" spans="1:7">
      <c r="A307" s="147">
        <v>2022</v>
      </c>
      <c r="B307" s="147" t="s">
        <v>230</v>
      </c>
      <c r="C307" s="148" t="s">
        <v>133</v>
      </c>
      <c r="D307" s="147" t="s">
        <v>5</v>
      </c>
      <c r="E307" s="147" t="s">
        <v>218</v>
      </c>
      <c r="F307" s="149">
        <v>3587.5133850379752</v>
      </c>
      <c r="G307" s="148" t="s">
        <v>219</v>
      </c>
    </row>
    <row r="308" spans="1:7">
      <c r="A308" s="147" t="s">
        <v>185</v>
      </c>
      <c r="B308" s="147" t="s">
        <v>230</v>
      </c>
      <c r="C308" s="148" t="s">
        <v>133</v>
      </c>
      <c r="D308" s="147" t="s">
        <v>5</v>
      </c>
      <c r="E308" s="147" t="s">
        <v>218</v>
      </c>
      <c r="F308" s="149">
        <v>3852.7365494083201</v>
      </c>
      <c r="G308" s="148" t="s">
        <v>219</v>
      </c>
    </row>
    <row r="309" spans="1:7">
      <c r="A309" s="147" t="s">
        <v>107</v>
      </c>
      <c r="B309" s="147" t="s">
        <v>230</v>
      </c>
      <c r="C309" s="148" t="s">
        <v>133</v>
      </c>
      <c r="D309" s="147" t="s">
        <v>5</v>
      </c>
      <c r="E309" s="147" t="s">
        <v>218</v>
      </c>
      <c r="F309" s="149">
        <v>4087.0784209453409</v>
      </c>
      <c r="G309" s="148" t="s">
        <v>219</v>
      </c>
    </row>
    <row r="310" spans="1:7">
      <c r="A310" s="147">
        <v>2018</v>
      </c>
      <c r="B310" s="147" t="s">
        <v>230</v>
      </c>
      <c r="C310" s="148" t="s">
        <v>133</v>
      </c>
      <c r="D310" s="147" t="s">
        <v>6</v>
      </c>
      <c r="E310" s="147" t="s">
        <v>218</v>
      </c>
      <c r="F310" s="149">
        <v>1658.2166048019415</v>
      </c>
      <c r="G310" s="148" t="s">
        <v>219</v>
      </c>
    </row>
    <row r="311" spans="1:7">
      <c r="A311" s="147">
        <v>2019</v>
      </c>
      <c r="B311" s="147" t="s">
        <v>230</v>
      </c>
      <c r="C311" s="148" t="s">
        <v>133</v>
      </c>
      <c r="D311" s="147" t="s">
        <v>6</v>
      </c>
      <c r="E311" s="147" t="s">
        <v>218</v>
      </c>
      <c r="F311" s="149">
        <v>1796.5182524588288</v>
      </c>
      <c r="G311" s="148" t="s">
        <v>219</v>
      </c>
    </row>
    <row r="312" spans="1:7">
      <c r="A312" s="147">
        <v>2020</v>
      </c>
      <c r="B312" s="147" t="s">
        <v>230</v>
      </c>
      <c r="C312" s="148" t="s">
        <v>133</v>
      </c>
      <c r="D312" s="147" t="s">
        <v>6</v>
      </c>
      <c r="E312" s="147" t="s">
        <v>218</v>
      </c>
      <c r="F312" s="149">
        <v>1861.8337646387254</v>
      </c>
      <c r="G312" s="148" t="s">
        <v>219</v>
      </c>
    </row>
    <row r="313" spans="1:7">
      <c r="A313" s="147">
        <v>2021</v>
      </c>
      <c r="B313" s="147" t="s">
        <v>230</v>
      </c>
      <c r="C313" s="148" t="s">
        <v>133</v>
      </c>
      <c r="D313" s="147" t="s">
        <v>6</v>
      </c>
      <c r="E313" s="147" t="s">
        <v>218</v>
      </c>
      <c r="F313" s="149">
        <v>2184.13163572336</v>
      </c>
      <c r="G313" s="148" t="s">
        <v>219</v>
      </c>
    </row>
    <row r="314" spans="1:7">
      <c r="A314" s="147">
        <v>2022</v>
      </c>
      <c r="B314" s="147" t="s">
        <v>230</v>
      </c>
      <c r="C314" s="148" t="s">
        <v>133</v>
      </c>
      <c r="D314" s="147" t="s">
        <v>6</v>
      </c>
      <c r="E314" s="147" t="s">
        <v>218</v>
      </c>
      <c r="F314" s="149">
        <v>2356.1941211104408</v>
      </c>
      <c r="G314" s="148" t="s">
        <v>219</v>
      </c>
    </row>
    <row r="315" spans="1:7">
      <c r="A315" s="147" t="s">
        <v>185</v>
      </c>
      <c r="B315" s="147" t="s">
        <v>230</v>
      </c>
      <c r="C315" s="148" t="s">
        <v>133</v>
      </c>
      <c r="D315" s="147" t="s">
        <v>6</v>
      </c>
      <c r="E315" s="147" t="s">
        <v>218</v>
      </c>
      <c r="F315" s="149">
        <v>2451.0332113568402</v>
      </c>
      <c r="G315" s="148" t="s">
        <v>219</v>
      </c>
    </row>
    <row r="316" spans="1:7">
      <c r="A316" s="147" t="s">
        <v>107</v>
      </c>
      <c r="B316" s="147" t="s">
        <v>230</v>
      </c>
      <c r="C316" s="148" t="s">
        <v>133</v>
      </c>
      <c r="D316" s="147" t="s">
        <v>6</v>
      </c>
      <c r="E316" s="147" t="s">
        <v>218</v>
      </c>
      <c r="F316" s="149">
        <v>2369.365321577769</v>
      </c>
      <c r="G316" s="148" t="s">
        <v>219</v>
      </c>
    </row>
    <row r="317" spans="1:7">
      <c r="A317" s="147">
        <v>2018</v>
      </c>
      <c r="B317" s="147" t="s">
        <v>230</v>
      </c>
      <c r="C317" s="148" t="s">
        <v>133</v>
      </c>
      <c r="D317" s="147" t="s">
        <v>7</v>
      </c>
      <c r="E317" s="147" t="s">
        <v>218</v>
      </c>
      <c r="F317" s="149">
        <v>64.45641835440594</v>
      </c>
      <c r="G317" s="148" t="s">
        <v>219</v>
      </c>
    </row>
    <row r="318" spans="1:7">
      <c r="A318" s="147">
        <v>2019</v>
      </c>
      <c r="B318" s="147" t="s">
        <v>230</v>
      </c>
      <c r="C318" s="148" t="s">
        <v>133</v>
      </c>
      <c r="D318" s="147" t="s">
        <v>7</v>
      </c>
      <c r="E318" s="147" t="s">
        <v>218</v>
      </c>
      <c r="F318" s="149">
        <v>59.803007834765204</v>
      </c>
      <c r="G318" s="148" t="s">
        <v>219</v>
      </c>
    </row>
    <row r="319" spans="1:7">
      <c r="A319" s="147">
        <v>2020</v>
      </c>
      <c r="B319" s="147" t="s">
        <v>230</v>
      </c>
      <c r="C319" s="148" t="s">
        <v>133</v>
      </c>
      <c r="D319" s="147" t="s">
        <v>7</v>
      </c>
      <c r="E319" s="147" t="s">
        <v>218</v>
      </c>
      <c r="F319" s="149">
        <v>20.227722583392911</v>
      </c>
      <c r="G319" s="148" t="s">
        <v>219</v>
      </c>
    </row>
    <row r="320" spans="1:7">
      <c r="A320" s="147">
        <v>2021</v>
      </c>
      <c r="B320" s="147" t="s">
        <v>230</v>
      </c>
      <c r="C320" s="148" t="s">
        <v>133</v>
      </c>
      <c r="D320" s="147" t="s">
        <v>7</v>
      </c>
      <c r="E320" s="147" t="s">
        <v>218</v>
      </c>
      <c r="F320" s="149">
        <v>30.982869250029324</v>
      </c>
      <c r="G320" s="148" t="s">
        <v>219</v>
      </c>
    </row>
    <row r="321" spans="1:7">
      <c r="A321" s="147">
        <v>2022</v>
      </c>
      <c r="B321" s="147" t="s">
        <v>230</v>
      </c>
      <c r="C321" s="148" t="s">
        <v>133</v>
      </c>
      <c r="D321" s="147" t="s">
        <v>7</v>
      </c>
      <c r="E321" s="147" t="s">
        <v>218</v>
      </c>
      <c r="F321" s="149">
        <v>10.600343990584108</v>
      </c>
      <c r="G321" s="148" t="s">
        <v>219</v>
      </c>
    </row>
    <row r="322" spans="1:7">
      <c r="A322" s="147" t="s">
        <v>185</v>
      </c>
      <c r="B322" s="147" t="s">
        <v>230</v>
      </c>
      <c r="C322" s="148" t="s">
        <v>133</v>
      </c>
      <c r="D322" s="147" t="s">
        <v>7</v>
      </c>
      <c r="E322" s="147" t="s">
        <v>218</v>
      </c>
      <c r="F322" s="149">
        <v>11.7456566919924</v>
      </c>
      <c r="G322" s="148" t="s">
        <v>219</v>
      </c>
    </row>
    <row r="323" spans="1:7">
      <c r="A323" s="147" t="s">
        <v>107</v>
      </c>
      <c r="B323" s="147" t="s">
        <v>230</v>
      </c>
      <c r="C323" s="148" t="s">
        <v>133</v>
      </c>
      <c r="D323" s="147" t="s">
        <v>7</v>
      </c>
      <c r="E323" s="147" t="s">
        <v>218</v>
      </c>
      <c r="F323" s="149">
        <v>13.0819675894324</v>
      </c>
      <c r="G323" s="148" t="s">
        <v>219</v>
      </c>
    </row>
    <row r="324" spans="1:7">
      <c r="A324" s="147">
        <v>2018</v>
      </c>
      <c r="B324" s="147" t="s">
        <v>230</v>
      </c>
      <c r="C324" s="148" t="s">
        <v>133</v>
      </c>
      <c r="D324" s="147" t="s">
        <v>8</v>
      </c>
      <c r="E324" s="147" t="s">
        <v>218</v>
      </c>
      <c r="F324" s="149">
        <v>128.26450035085338</v>
      </c>
      <c r="G324" s="148" t="s">
        <v>219</v>
      </c>
    </row>
    <row r="325" spans="1:7">
      <c r="A325" s="147">
        <v>2019</v>
      </c>
      <c r="B325" s="147" t="s">
        <v>230</v>
      </c>
      <c r="C325" s="148" t="s">
        <v>133</v>
      </c>
      <c r="D325" s="147" t="s">
        <v>8</v>
      </c>
      <c r="E325" s="147" t="s">
        <v>218</v>
      </c>
      <c r="F325" s="149">
        <v>128.69967418728248</v>
      </c>
      <c r="G325" s="148" t="s">
        <v>219</v>
      </c>
    </row>
    <row r="326" spans="1:7">
      <c r="A326" s="147">
        <v>2020</v>
      </c>
      <c r="B326" s="147" t="s">
        <v>230</v>
      </c>
      <c r="C326" s="148" t="s">
        <v>133</v>
      </c>
      <c r="D326" s="147" t="s">
        <v>8</v>
      </c>
      <c r="E326" s="147" t="s">
        <v>218</v>
      </c>
      <c r="F326" s="149">
        <v>130.81987755636644</v>
      </c>
      <c r="G326" s="148" t="s">
        <v>219</v>
      </c>
    </row>
    <row r="327" spans="1:7">
      <c r="A327" s="147">
        <v>2021</v>
      </c>
      <c r="B327" s="147" t="s">
        <v>230</v>
      </c>
      <c r="C327" s="148" t="s">
        <v>133</v>
      </c>
      <c r="D327" s="147" t="s">
        <v>8</v>
      </c>
      <c r="E327" s="147" t="s">
        <v>218</v>
      </c>
      <c r="F327" s="149">
        <v>138.94643354693949</v>
      </c>
      <c r="G327" s="148" t="s">
        <v>219</v>
      </c>
    </row>
    <row r="328" spans="1:7">
      <c r="A328" s="147">
        <v>2022</v>
      </c>
      <c r="B328" s="147" t="s">
        <v>230</v>
      </c>
      <c r="C328" s="148" t="s">
        <v>133</v>
      </c>
      <c r="D328" s="147" t="s">
        <v>8</v>
      </c>
      <c r="E328" s="147" t="s">
        <v>218</v>
      </c>
      <c r="F328" s="149">
        <v>137.72754724269043</v>
      </c>
      <c r="G328" s="148" t="s">
        <v>219</v>
      </c>
    </row>
    <row r="329" spans="1:7">
      <c r="A329" s="147" t="s">
        <v>185</v>
      </c>
      <c r="B329" s="147" t="s">
        <v>230</v>
      </c>
      <c r="C329" s="148" t="s">
        <v>133</v>
      </c>
      <c r="D329" s="147" t="s">
        <v>8</v>
      </c>
      <c r="E329" s="147" t="s">
        <v>218</v>
      </c>
      <c r="F329" s="149">
        <v>148.1605404447341</v>
      </c>
      <c r="G329" s="148" t="s">
        <v>219</v>
      </c>
    </row>
    <row r="330" spans="1:7">
      <c r="A330" s="147" t="s">
        <v>107</v>
      </c>
      <c r="B330" s="147" t="s">
        <v>230</v>
      </c>
      <c r="C330" s="148" t="s">
        <v>133</v>
      </c>
      <c r="D330" s="147" t="s">
        <v>8</v>
      </c>
      <c r="E330" s="147" t="s">
        <v>218</v>
      </c>
      <c r="F330" s="149">
        <v>158.08187763167243</v>
      </c>
      <c r="G330" s="148" t="s">
        <v>219</v>
      </c>
    </row>
    <row r="331" spans="1:7">
      <c r="A331" s="147">
        <v>2018</v>
      </c>
      <c r="B331" s="147" t="s">
        <v>230</v>
      </c>
      <c r="C331" s="148" t="s">
        <v>133</v>
      </c>
      <c r="D331" s="147" t="s">
        <v>9</v>
      </c>
      <c r="E331" s="147" t="s">
        <v>218</v>
      </c>
      <c r="F331" s="149">
        <v>112.93266800215159</v>
      </c>
      <c r="G331" s="148" t="s">
        <v>219</v>
      </c>
    </row>
    <row r="332" spans="1:7">
      <c r="A332" s="147">
        <v>2019</v>
      </c>
      <c r="B332" s="147" t="s">
        <v>230</v>
      </c>
      <c r="C332" s="148" t="s">
        <v>133</v>
      </c>
      <c r="D332" s="147" t="s">
        <v>9</v>
      </c>
      <c r="E332" s="147" t="s">
        <v>218</v>
      </c>
      <c r="F332" s="149">
        <v>132.67763042806334</v>
      </c>
      <c r="G332" s="148" t="s">
        <v>219</v>
      </c>
    </row>
    <row r="333" spans="1:7">
      <c r="A333" s="147">
        <v>2020</v>
      </c>
      <c r="B333" s="147" t="s">
        <v>230</v>
      </c>
      <c r="C333" s="148" t="s">
        <v>133</v>
      </c>
      <c r="D333" s="147" t="s">
        <v>9</v>
      </c>
      <c r="E333" s="147" t="s">
        <v>218</v>
      </c>
      <c r="F333" s="149">
        <v>145.89024612359441</v>
      </c>
      <c r="G333" s="148" t="s">
        <v>219</v>
      </c>
    </row>
    <row r="334" spans="1:7">
      <c r="A334" s="147">
        <v>2021</v>
      </c>
      <c r="B334" s="147" t="s">
        <v>230</v>
      </c>
      <c r="C334" s="148" t="s">
        <v>133</v>
      </c>
      <c r="D334" s="147" t="s">
        <v>9</v>
      </c>
      <c r="E334" s="147" t="s">
        <v>218</v>
      </c>
      <c r="F334" s="149">
        <v>152.25702844661336</v>
      </c>
      <c r="G334" s="148" t="s">
        <v>219</v>
      </c>
    </row>
    <row r="335" spans="1:7">
      <c r="A335" s="147">
        <v>2022</v>
      </c>
      <c r="B335" s="147" t="s">
        <v>230</v>
      </c>
      <c r="C335" s="148" t="s">
        <v>133</v>
      </c>
      <c r="D335" s="147" t="s">
        <v>9</v>
      </c>
      <c r="E335" s="147" t="s">
        <v>218</v>
      </c>
      <c r="F335" s="149">
        <v>161.32235574554417</v>
      </c>
      <c r="G335" s="148" t="s">
        <v>219</v>
      </c>
    </row>
    <row r="336" spans="1:7">
      <c r="A336" s="147" t="s">
        <v>185</v>
      </c>
      <c r="B336" s="147" t="s">
        <v>230</v>
      </c>
      <c r="C336" s="148" t="s">
        <v>133</v>
      </c>
      <c r="D336" s="147" t="s">
        <v>9</v>
      </c>
      <c r="E336" s="147" t="s">
        <v>218</v>
      </c>
      <c r="F336" s="149">
        <v>162.90516640908868</v>
      </c>
      <c r="G336" s="148" t="s">
        <v>219</v>
      </c>
    </row>
    <row r="337" spans="1:7">
      <c r="A337" s="147" t="s">
        <v>107</v>
      </c>
      <c r="B337" s="147" t="s">
        <v>230</v>
      </c>
      <c r="C337" s="148" t="s">
        <v>133</v>
      </c>
      <c r="D337" s="147" t="s">
        <v>9</v>
      </c>
      <c r="E337" s="147" t="s">
        <v>218</v>
      </c>
      <c r="F337" s="149">
        <v>172.58628740904439</v>
      </c>
      <c r="G337" s="148" t="s">
        <v>219</v>
      </c>
    </row>
    <row r="338" spans="1:7">
      <c r="A338" s="147">
        <v>2018</v>
      </c>
      <c r="B338" s="147" t="s">
        <v>230</v>
      </c>
      <c r="C338" s="148" t="s">
        <v>133</v>
      </c>
      <c r="D338" s="147" t="s">
        <v>70</v>
      </c>
      <c r="E338" s="147" t="s">
        <v>218</v>
      </c>
      <c r="F338" s="149">
        <v>232.35781305247812</v>
      </c>
      <c r="G338" s="148" t="s">
        <v>219</v>
      </c>
    </row>
    <row r="339" spans="1:7">
      <c r="A339" s="147">
        <v>2019</v>
      </c>
      <c r="B339" s="147" t="s">
        <v>230</v>
      </c>
      <c r="C339" s="148" t="s">
        <v>133</v>
      </c>
      <c r="D339" s="147" t="s">
        <v>70</v>
      </c>
      <c r="E339" s="147" t="s">
        <v>218</v>
      </c>
      <c r="F339" s="149">
        <v>238.50981509155682</v>
      </c>
      <c r="G339" s="148" t="s">
        <v>219</v>
      </c>
    </row>
    <row r="340" spans="1:7">
      <c r="A340" s="147">
        <v>2020</v>
      </c>
      <c r="B340" s="147" t="s">
        <v>230</v>
      </c>
      <c r="C340" s="148" t="s">
        <v>133</v>
      </c>
      <c r="D340" s="147" t="s">
        <v>70</v>
      </c>
      <c r="E340" s="147" t="s">
        <v>218</v>
      </c>
      <c r="F340" s="149">
        <v>238.88750469452955</v>
      </c>
      <c r="G340" s="148" t="s">
        <v>219</v>
      </c>
    </row>
    <row r="341" spans="1:7">
      <c r="A341" s="147">
        <v>2021</v>
      </c>
      <c r="B341" s="147" t="s">
        <v>230</v>
      </c>
      <c r="C341" s="148" t="s">
        <v>133</v>
      </c>
      <c r="D341" s="147" t="s">
        <v>70</v>
      </c>
      <c r="E341" s="147" t="s">
        <v>218</v>
      </c>
      <c r="F341" s="149">
        <v>224.47538233317474</v>
      </c>
      <c r="G341" s="148" t="s">
        <v>219</v>
      </c>
    </row>
    <row r="342" spans="1:7">
      <c r="A342" s="147">
        <v>2022</v>
      </c>
      <c r="B342" s="147" t="s">
        <v>230</v>
      </c>
      <c r="C342" s="148" t="s">
        <v>133</v>
      </c>
      <c r="D342" s="147" t="s">
        <v>70</v>
      </c>
      <c r="E342" s="147" t="s">
        <v>218</v>
      </c>
      <c r="F342" s="149">
        <v>293.4062712326172</v>
      </c>
      <c r="G342" s="148" t="s">
        <v>219</v>
      </c>
    </row>
    <row r="343" spans="1:7">
      <c r="A343" s="147" t="s">
        <v>185</v>
      </c>
      <c r="B343" s="147" t="s">
        <v>230</v>
      </c>
      <c r="C343" s="148" t="s">
        <v>133</v>
      </c>
      <c r="D343" s="147" t="s">
        <v>70</v>
      </c>
      <c r="E343" s="147" t="s">
        <v>218</v>
      </c>
      <c r="F343" s="149">
        <v>211.80185106454948</v>
      </c>
      <c r="G343" s="148" t="s">
        <v>219</v>
      </c>
    </row>
    <row r="344" spans="1:7">
      <c r="A344" s="147" t="s">
        <v>107</v>
      </c>
      <c r="B344" s="147" t="s">
        <v>230</v>
      </c>
      <c r="C344" s="148" t="s">
        <v>133</v>
      </c>
      <c r="D344" s="147" t="s">
        <v>70</v>
      </c>
      <c r="E344" s="147" t="s">
        <v>218</v>
      </c>
      <c r="F344" s="149">
        <v>259.5979413750581</v>
      </c>
      <c r="G344" s="148" t="s">
        <v>219</v>
      </c>
    </row>
    <row r="345" spans="1:7">
      <c r="A345" s="147">
        <v>2018</v>
      </c>
      <c r="B345" s="147" t="s">
        <v>230</v>
      </c>
      <c r="C345" s="148" t="s">
        <v>133</v>
      </c>
      <c r="D345" s="147" t="s">
        <v>10</v>
      </c>
      <c r="E345" s="147" t="s">
        <v>218</v>
      </c>
      <c r="F345" s="149">
        <v>12.110577059296677</v>
      </c>
      <c r="G345" s="148" t="s">
        <v>219</v>
      </c>
    </row>
    <row r="346" spans="1:7">
      <c r="A346" s="147">
        <v>2019</v>
      </c>
      <c r="B346" s="147" t="s">
        <v>230</v>
      </c>
      <c r="C346" s="148" t="s">
        <v>133</v>
      </c>
      <c r="D346" s="147" t="s">
        <v>10</v>
      </c>
      <c r="E346" s="147" t="s">
        <v>218</v>
      </c>
      <c r="F346" s="149">
        <v>12.414955898629522</v>
      </c>
      <c r="G346" s="148" t="s">
        <v>219</v>
      </c>
    </row>
    <row r="347" spans="1:7">
      <c r="A347" s="147">
        <v>2020</v>
      </c>
      <c r="B347" s="147" t="s">
        <v>230</v>
      </c>
      <c r="C347" s="148" t="s">
        <v>133</v>
      </c>
      <c r="D347" s="147" t="s">
        <v>10</v>
      </c>
      <c r="E347" s="147" t="s">
        <v>218</v>
      </c>
      <c r="F347" s="149">
        <v>9.8759629052114022</v>
      </c>
      <c r="G347" s="148" t="s">
        <v>219</v>
      </c>
    </row>
    <row r="348" spans="1:7">
      <c r="A348" s="147">
        <v>2021</v>
      </c>
      <c r="B348" s="147" t="s">
        <v>230</v>
      </c>
      <c r="C348" s="148" t="s">
        <v>133</v>
      </c>
      <c r="D348" s="147" t="s">
        <v>10</v>
      </c>
      <c r="E348" s="147" t="s">
        <v>218</v>
      </c>
      <c r="F348" s="149">
        <v>8.4831055934424917</v>
      </c>
      <c r="G348" s="148" t="s">
        <v>219</v>
      </c>
    </row>
    <row r="349" spans="1:7">
      <c r="A349" s="147">
        <v>2022</v>
      </c>
      <c r="B349" s="147" t="s">
        <v>230</v>
      </c>
      <c r="C349" s="148" t="s">
        <v>133</v>
      </c>
      <c r="D349" s="147" t="s">
        <v>10</v>
      </c>
      <c r="E349" s="147" t="s">
        <v>218</v>
      </c>
      <c r="F349" s="149">
        <v>8.8632299364679401</v>
      </c>
      <c r="G349" s="148" t="s">
        <v>219</v>
      </c>
    </row>
    <row r="350" spans="1:7">
      <c r="A350" s="147" t="s">
        <v>185</v>
      </c>
      <c r="B350" s="147" t="s">
        <v>230</v>
      </c>
      <c r="C350" s="148" t="s">
        <v>133</v>
      </c>
      <c r="D350" s="147" t="s">
        <v>10</v>
      </c>
      <c r="E350" s="147" t="s">
        <v>218</v>
      </c>
      <c r="F350" s="149">
        <v>9.9544679130498412</v>
      </c>
      <c r="G350" s="148" t="s">
        <v>219</v>
      </c>
    </row>
    <row r="351" spans="1:7">
      <c r="A351" s="147" t="s">
        <v>107</v>
      </c>
      <c r="B351" s="147" t="s">
        <v>230</v>
      </c>
      <c r="C351" s="148" t="s">
        <v>133</v>
      </c>
      <c r="D351" s="147" t="s">
        <v>10</v>
      </c>
      <c r="E351" s="147" t="s">
        <v>218</v>
      </c>
      <c r="F351" s="149">
        <v>10.40826525668705</v>
      </c>
      <c r="G351" s="148" t="s">
        <v>219</v>
      </c>
    </row>
    <row r="352" spans="1:7">
      <c r="A352" s="147">
        <v>2018</v>
      </c>
      <c r="B352" s="147" t="s">
        <v>230</v>
      </c>
      <c r="C352" s="148" t="s">
        <v>133</v>
      </c>
      <c r="D352" s="147" t="s">
        <v>59</v>
      </c>
      <c r="E352" s="147" t="s">
        <v>218</v>
      </c>
      <c r="F352" s="149">
        <v>1.3302398437963885</v>
      </c>
      <c r="G352" s="148" t="s">
        <v>219</v>
      </c>
    </row>
    <row r="353" spans="1:7">
      <c r="A353" s="147">
        <v>2019</v>
      </c>
      <c r="B353" s="147" t="s">
        <v>230</v>
      </c>
      <c r="C353" s="148" t="s">
        <v>133</v>
      </c>
      <c r="D353" s="147" t="s">
        <v>59</v>
      </c>
      <c r="E353" s="147" t="s">
        <v>218</v>
      </c>
      <c r="F353" s="149">
        <v>1.9837607730095024</v>
      </c>
      <c r="G353" s="148" t="s">
        <v>219</v>
      </c>
    </row>
    <row r="354" spans="1:7">
      <c r="A354" s="147">
        <v>2020</v>
      </c>
      <c r="B354" s="147" t="s">
        <v>230</v>
      </c>
      <c r="C354" s="148" t="s">
        <v>133</v>
      </c>
      <c r="D354" s="147" t="s">
        <v>59</v>
      </c>
      <c r="E354" s="147" t="s">
        <v>218</v>
      </c>
      <c r="F354" s="149">
        <v>2.0837516887331473</v>
      </c>
      <c r="G354" s="148" t="s">
        <v>219</v>
      </c>
    </row>
    <row r="355" spans="1:7">
      <c r="A355" s="147">
        <v>2021</v>
      </c>
      <c r="B355" s="147" t="s">
        <v>230</v>
      </c>
      <c r="C355" s="148" t="s">
        <v>133</v>
      </c>
      <c r="D355" s="147" t="s">
        <v>59</v>
      </c>
      <c r="E355" s="147" t="s">
        <v>218</v>
      </c>
      <c r="F355" s="149">
        <v>1.9313019813092871</v>
      </c>
      <c r="G355" s="148" t="s">
        <v>219</v>
      </c>
    </row>
    <row r="356" spans="1:7">
      <c r="A356" s="147">
        <v>2022</v>
      </c>
      <c r="B356" s="147" t="s">
        <v>230</v>
      </c>
      <c r="C356" s="148" t="s">
        <v>133</v>
      </c>
      <c r="D356" s="147" t="s">
        <v>59</v>
      </c>
      <c r="E356" s="147" t="s">
        <v>218</v>
      </c>
      <c r="F356" s="149">
        <v>1.6283300018615849</v>
      </c>
      <c r="G356" s="148" t="s">
        <v>219</v>
      </c>
    </row>
    <row r="357" spans="1:7">
      <c r="A357" s="147" t="s">
        <v>185</v>
      </c>
      <c r="B357" s="147" t="s">
        <v>230</v>
      </c>
      <c r="C357" s="148" t="s">
        <v>133</v>
      </c>
      <c r="D357" s="147" t="s">
        <v>59</v>
      </c>
      <c r="E357" s="147" t="s">
        <v>218</v>
      </c>
      <c r="F357" s="149">
        <v>1.6219579872895229</v>
      </c>
      <c r="G357" s="148" t="s">
        <v>219</v>
      </c>
    </row>
    <row r="358" spans="1:7">
      <c r="A358" s="147" t="s">
        <v>107</v>
      </c>
      <c r="B358" s="147" t="s">
        <v>230</v>
      </c>
      <c r="C358" s="148" t="s">
        <v>133</v>
      </c>
      <c r="D358" s="147" t="s">
        <v>59</v>
      </c>
      <c r="E358" s="147" t="s">
        <v>218</v>
      </c>
      <c r="F358" s="149">
        <v>1.5542251044121227</v>
      </c>
      <c r="G358" s="148" t="s">
        <v>219</v>
      </c>
    </row>
    <row r="359" spans="1:7">
      <c r="A359" s="147">
        <v>2018</v>
      </c>
      <c r="B359" s="147" t="s">
        <v>230</v>
      </c>
      <c r="C359" s="148" t="s">
        <v>133</v>
      </c>
      <c r="D359" s="147" t="s">
        <v>66</v>
      </c>
      <c r="E359" s="147" t="s">
        <v>218</v>
      </c>
      <c r="F359" s="149">
        <v>48.476133928788613</v>
      </c>
      <c r="G359" s="148" t="s">
        <v>219</v>
      </c>
    </row>
    <row r="360" spans="1:7">
      <c r="A360" s="147">
        <v>2019</v>
      </c>
      <c r="B360" s="147" t="s">
        <v>230</v>
      </c>
      <c r="C360" s="148" t="s">
        <v>133</v>
      </c>
      <c r="D360" s="147" t="s">
        <v>66</v>
      </c>
      <c r="E360" s="147" t="s">
        <v>218</v>
      </c>
      <c r="F360" s="149">
        <v>42.844805574925907</v>
      </c>
      <c r="G360" s="148" t="s">
        <v>219</v>
      </c>
    </row>
    <row r="361" spans="1:7">
      <c r="A361" s="147">
        <v>2020</v>
      </c>
      <c r="B361" s="147" t="s">
        <v>230</v>
      </c>
      <c r="C361" s="148" t="s">
        <v>133</v>
      </c>
      <c r="D361" s="147" t="s">
        <v>66</v>
      </c>
      <c r="E361" s="147" t="s">
        <v>218</v>
      </c>
      <c r="F361" s="149">
        <v>36.102309313554095</v>
      </c>
      <c r="G361" s="148" t="s">
        <v>219</v>
      </c>
    </row>
    <row r="362" spans="1:7">
      <c r="A362" s="147">
        <v>2021</v>
      </c>
      <c r="B362" s="147" t="s">
        <v>230</v>
      </c>
      <c r="C362" s="148" t="s">
        <v>133</v>
      </c>
      <c r="D362" s="147" t="s">
        <v>66</v>
      </c>
      <c r="E362" s="147" t="s">
        <v>218</v>
      </c>
      <c r="F362" s="149">
        <v>37.324138210900557</v>
      </c>
      <c r="G362" s="148" t="s">
        <v>219</v>
      </c>
    </row>
    <row r="363" spans="1:7">
      <c r="A363" s="147">
        <v>2022</v>
      </c>
      <c r="B363" s="147" t="s">
        <v>230</v>
      </c>
      <c r="C363" s="148" t="s">
        <v>133</v>
      </c>
      <c r="D363" s="147" t="s">
        <v>66</v>
      </c>
      <c r="E363" s="147" t="s">
        <v>218</v>
      </c>
      <c r="F363" s="149">
        <v>34.455549886702663</v>
      </c>
      <c r="G363" s="148" t="s">
        <v>219</v>
      </c>
    </row>
    <row r="364" spans="1:7">
      <c r="A364" s="147" t="s">
        <v>185</v>
      </c>
      <c r="B364" s="147" t="s">
        <v>230</v>
      </c>
      <c r="C364" s="148" t="s">
        <v>133</v>
      </c>
      <c r="D364" s="147" t="s">
        <v>66</v>
      </c>
      <c r="E364" s="147" t="s">
        <v>218</v>
      </c>
      <c r="F364" s="149">
        <v>36.560032609495103</v>
      </c>
      <c r="G364" s="148" t="s">
        <v>219</v>
      </c>
    </row>
    <row r="365" spans="1:7">
      <c r="A365" s="147" t="s">
        <v>107</v>
      </c>
      <c r="B365" s="147" t="s">
        <v>230</v>
      </c>
      <c r="C365" s="148" t="s">
        <v>133</v>
      </c>
      <c r="D365" s="147" t="s">
        <v>66</v>
      </c>
      <c r="E365" s="147" t="s">
        <v>218</v>
      </c>
      <c r="F365" s="149">
        <v>37.973105603250239</v>
      </c>
      <c r="G365" s="148" t="s">
        <v>219</v>
      </c>
    </row>
    <row r="366" spans="1:7">
      <c r="A366" s="147">
        <v>2018</v>
      </c>
      <c r="B366" s="147" t="s">
        <v>230</v>
      </c>
      <c r="C366" s="148" t="s">
        <v>133</v>
      </c>
      <c r="D366" s="147" t="s">
        <v>61</v>
      </c>
      <c r="E366" s="147" t="s">
        <v>218</v>
      </c>
      <c r="F366" s="149">
        <v>12.498627227116911</v>
      </c>
      <c r="G366" s="148" t="s">
        <v>219</v>
      </c>
    </row>
    <row r="367" spans="1:7">
      <c r="A367" s="147">
        <v>2019</v>
      </c>
      <c r="B367" s="147" t="s">
        <v>230</v>
      </c>
      <c r="C367" s="148" t="s">
        <v>133</v>
      </c>
      <c r="D367" s="147" t="s">
        <v>61</v>
      </c>
      <c r="E367" s="147" t="s">
        <v>218</v>
      </c>
      <c r="F367" s="149">
        <v>18.798193647731985</v>
      </c>
      <c r="G367" s="148" t="s">
        <v>219</v>
      </c>
    </row>
    <row r="368" spans="1:7">
      <c r="A368" s="147">
        <v>2020</v>
      </c>
      <c r="B368" s="147" t="s">
        <v>230</v>
      </c>
      <c r="C368" s="148" t="s">
        <v>133</v>
      </c>
      <c r="D368" s="147" t="s">
        <v>61</v>
      </c>
      <c r="E368" s="147" t="s">
        <v>218</v>
      </c>
      <c r="F368" s="149">
        <v>15.104964346204788</v>
      </c>
      <c r="G368" s="148" t="s">
        <v>219</v>
      </c>
    </row>
    <row r="369" spans="1:7">
      <c r="A369" s="147">
        <v>2021</v>
      </c>
      <c r="B369" s="147" t="s">
        <v>230</v>
      </c>
      <c r="C369" s="148" t="s">
        <v>133</v>
      </c>
      <c r="D369" s="147" t="s">
        <v>61</v>
      </c>
      <c r="E369" s="147" t="s">
        <v>218</v>
      </c>
      <c r="F369" s="149">
        <v>7.2250009033989651</v>
      </c>
      <c r="G369" s="148" t="s">
        <v>219</v>
      </c>
    </row>
    <row r="370" spans="1:7">
      <c r="A370" s="147">
        <v>2022</v>
      </c>
      <c r="B370" s="147" t="s">
        <v>230</v>
      </c>
      <c r="C370" s="148" t="s">
        <v>133</v>
      </c>
      <c r="D370" s="147" t="s">
        <v>61</v>
      </c>
      <c r="E370" s="147" t="s">
        <v>218</v>
      </c>
      <c r="F370" s="149">
        <v>8.7809995345674796</v>
      </c>
      <c r="G370" s="148" t="s">
        <v>219</v>
      </c>
    </row>
    <row r="371" spans="1:7">
      <c r="A371" s="147" t="s">
        <v>185</v>
      </c>
      <c r="B371" s="147" t="s">
        <v>230</v>
      </c>
      <c r="C371" s="148" t="s">
        <v>133</v>
      </c>
      <c r="D371" s="147" t="s">
        <v>61</v>
      </c>
      <c r="E371" s="147" t="s">
        <v>218</v>
      </c>
      <c r="F371" s="149">
        <v>8.6938914378536438</v>
      </c>
      <c r="G371" s="148" t="s">
        <v>219</v>
      </c>
    </row>
    <row r="372" spans="1:7">
      <c r="A372" s="147" t="s">
        <v>107</v>
      </c>
      <c r="B372" s="147" t="s">
        <v>230</v>
      </c>
      <c r="C372" s="148" t="s">
        <v>133</v>
      </c>
      <c r="D372" s="147" t="s">
        <v>61</v>
      </c>
      <c r="E372" s="147" t="s">
        <v>218</v>
      </c>
      <c r="F372" s="149">
        <v>9.2792430244062469</v>
      </c>
      <c r="G372" s="148" t="s">
        <v>219</v>
      </c>
    </row>
    <row r="373" spans="1:7">
      <c r="A373" s="147">
        <v>2018</v>
      </c>
      <c r="B373" s="147" t="s">
        <v>231</v>
      </c>
      <c r="C373" s="148" t="s">
        <v>133</v>
      </c>
      <c r="D373" s="147" t="s">
        <v>221</v>
      </c>
      <c r="E373" s="147" t="s">
        <v>218</v>
      </c>
      <c r="F373" s="149">
        <v>334.39005130689287</v>
      </c>
      <c r="G373" s="148" t="s">
        <v>219</v>
      </c>
    </row>
    <row r="374" spans="1:7">
      <c r="A374" s="147">
        <v>2019</v>
      </c>
      <c r="B374" s="147" t="s">
        <v>231</v>
      </c>
      <c r="C374" s="148" t="s">
        <v>133</v>
      </c>
      <c r="D374" s="147" t="s">
        <v>221</v>
      </c>
      <c r="E374" s="147" t="s">
        <v>218</v>
      </c>
      <c r="F374" s="149">
        <v>334.75621859715284</v>
      </c>
      <c r="G374" s="148" t="s">
        <v>219</v>
      </c>
    </row>
    <row r="375" spans="1:7">
      <c r="A375" s="147">
        <v>2020</v>
      </c>
      <c r="B375" s="147" t="s">
        <v>231</v>
      </c>
      <c r="C375" s="148" t="s">
        <v>133</v>
      </c>
      <c r="D375" s="147" t="s">
        <v>221</v>
      </c>
      <c r="E375" s="147" t="s">
        <v>218</v>
      </c>
      <c r="F375" s="149">
        <v>398.01736318544795</v>
      </c>
      <c r="G375" s="148" t="s">
        <v>219</v>
      </c>
    </row>
    <row r="376" spans="1:7">
      <c r="A376" s="147">
        <v>2021</v>
      </c>
      <c r="B376" s="147" t="s">
        <v>231</v>
      </c>
      <c r="C376" s="148" t="s">
        <v>133</v>
      </c>
      <c r="D376" s="147" t="s">
        <v>221</v>
      </c>
      <c r="E376" s="147" t="s">
        <v>218</v>
      </c>
      <c r="F376" s="149">
        <v>449.58477180834484</v>
      </c>
      <c r="G376" s="148" t="s">
        <v>219</v>
      </c>
    </row>
    <row r="377" spans="1:7">
      <c r="A377" s="147">
        <v>2022</v>
      </c>
      <c r="B377" s="147" t="s">
        <v>231</v>
      </c>
      <c r="C377" s="148" t="s">
        <v>133</v>
      </c>
      <c r="D377" s="147" t="s">
        <v>221</v>
      </c>
      <c r="E377" s="147" t="s">
        <v>218</v>
      </c>
      <c r="F377" s="149">
        <v>442.5643416673509</v>
      </c>
      <c r="G377" s="148" t="s">
        <v>219</v>
      </c>
    </row>
    <row r="378" spans="1:7">
      <c r="A378" s="147" t="s">
        <v>185</v>
      </c>
      <c r="B378" s="147" t="s">
        <v>231</v>
      </c>
      <c r="C378" s="148" t="s">
        <v>133</v>
      </c>
      <c r="D378" s="147" t="s">
        <v>221</v>
      </c>
      <c r="E378" s="147" t="s">
        <v>218</v>
      </c>
      <c r="F378" s="149">
        <v>414.05683185810864</v>
      </c>
      <c r="G378" s="148" t="s">
        <v>219</v>
      </c>
    </row>
    <row r="379" spans="1:7">
      <c r="A379" s="147" t="s">
        <v>107</v>
      </c>
      <c r="B379" s="147" t="s">
        <v>231</v>
      </c>
      <c r="C379" s="148" t="s">
        <v>133</v>
      </c>
      <c r="D379" s="147" t="s">
        <v>221</v>
      </c>
      <c r="E379" s="147" t="s">
        <v>218</v>
      </c>
      <c r="F379" s="149">
        <v>423.81121586214169</v>
      </c>
      <c r="G379" s="148" t="s">
        <v>219</v>
      </c>
    </row>
    <row r="380" spans="1:7">
      <c r="A380" s="147">
        <v>2018</v>
      </c>
      <c r="B380" s="147" t="s">
        <v>232</v>
      </c>
      <c r="C380" s="148" t="s">
        <v>133</v>
      </c>
      <c r="D380" s="147" t="s">
        <v>148</v>
      </c>
      <c r="E380" s="147" t="s">
        <v>218</v>
      </c>
      <c r="F380" s="149">
        <v>10221.835987147268</v>
      </c>
      <c r="G380" s="148" t="s">
        <v>219</v>
      </c>
    </row>
    <row r="381" spans="1:7">
      <c r="A381" s="147">
        <v>2019</v>
      </c>
      <c r="B381" s="147" t="s">
        <v>232</v>
      </c>
      <c r="C381" s="148" t="s">
        <v>133</v>
      </c>
      <c r="D381" s="147" t="s">
        <v>148</v>
      </c>
      <c r="E381" s="147" t="s">
        <v>218</v>
      </c>
      <c r="F381" s="149">
        <v>10294.247007335671</v>
      </c>
      <c r="G381" s="148" t="s">
        <v>219</v>
      </c>
    </row>
    <row r="382" spans="1:7">
      <c r="A382" s="147">
        <v>2020</v>
      </c>
      <c r="B382" s="147" t="s">
        <v>232</v>
      </c>
      <c r="C382" s="148" t="s">
        <v>133</v>
      </c>
      <c r="D382" s="147" t="s">
        <v>148</v>
      </c>
      <c r="E382" s="147" t="s">
        <v>218</v>
      </c>
      <c r="F382" s="149">
        <v>8968.0279419641211</v>
      </c>
      <c r="G382" s="148" t="s">
        <v>219</v>
      </c>
    </row>
    <row r="383" spans="1:7">
      <c r="A383" s="147">
        <v>2021</v>
      </c>
      <c r="B383" s="147" t="s">
        <v>232</v>
      </c>
      <c r="C383" s="148" t="s">
        <v>133</v>
      </c>
      <c r="D383" s="147" t="s">
        <v>148</v>
      </c>
      <c r="E383" s="147" t="s">
        <v>218</v>
      </c>
      <c r="F383" s="149">
        <v>10524.967663253608</v>
      </c>
      <c r="G383" s="148" t="s">
        <v>219</v>
      </c>
    </row>
    <row r="384" spans="1:7">
      <c r="A384" s="147">
        <v>2022</v>
      </c>
      <c r="B384" s="147" t="s">
        <v>232</v>
      </c>
      <c r="C384" s="148" t="s">
        <v>133</v>
      </c>
      <c r="D384" s="147" t="s">
        <v>148</v>
      </c>
      <c r="E384" s="147" t="s">
        <v>218</v>
      </c>
      <c r="F384" s="149">
        <v>12298.160671053689</v>
      </c>
      <c r="G384" s="148" t="s">
        <v>219</v>
      </c>
    </row>
    <row r="385" spans="1:7">
      <c r="A385" s="147" t="s">
        <v>185</v>
      </c>
      <c r="B385" s="147" t="s">
        <v>232</v>
      </c>
      <c r="C385" s="148" t="s">
        <v>133</v>
      </c>
      <c r="D385" s="147" t="s">
        <v>148</v>
      </c>
      <c r="E385" s="147" t="s">
        <v>218</v>
      </c>
      <c r="F385" s="149">
        <v>11495.280653626925</v>
      </c>
      <c r="G385" s="148" t="s">
        <v>219</v>
      </c>
    </row>
    <row r="386" spans="1:7">
      <c r="A386" s="147" t="s">
        <v>107</v>
      </c>
      <c r="B386" s="147" t="s">
        <v>232</v>
      </c>
      <c r="C386" s="148" t="s">
        <v>133</v>
      </c>
      <c r="D386" s="147" t="s">
        <v>148</v>
      </c>
      <c r="E386" s="147" t="s">
        <v>218</v>
      </c>
      <c r="F386" s="149">
        <v>8365.139395953096</v>
      </c>
      <c r="G386" s="148" t="s">
        <v>219</v>
      </c>
    </row>
    <row r="387" spans="1:7">
      <c r="A387" s="147">
        <v>2018</v>
      </c>
      <c r="B387" s="147" t="s">
        <v>233</v>
      </c>
      <c r="C387" s="148" t="s">
        <v>133</v>
      </c>
      <c r="D387" s="147" t="s">
        <v>149</v>
      </c>
      <c r="E387" s="147" t="s">
        <v>218</v>
      </c>
      <c r="F387" s="149">
        <v>203.99524458374938</v>
      </c>
      <c r="G387" s="148" t="s">
        <v>219</v>
      </c>
    </row>
    <row r="388" spans="1:7">
      <c r="A388" s="147">
        <v>2019</v>
      </c>
      <c r="B388" s="147" t="s">
        <v>233</v>
      </c>
      <c r="C388" s="148" t="s">
        <v>133</v>
      </c>
      <c r="D388" s="147" t="s">
        <v>149</v>
      </c>
      <c r="E388" s="147" t="s">
        <v>218</v>
      </c>
      <c r="F388" s="149">
        <v>193.61037801092286</v>
      </c>
      <c r="G388" s="148" t="s">
        <v>219</v>
      </c>
    </row>
    <row r="389" spans="1:7">
      <c r="A389" s="147">
        <v>2020</v>
      </c>
      <c r="B389" s="147" t="s">
        <v>233</v>
      </c>
      <c r="C389" s="148" t="s">
        <v>133</v>
      </c>
      <c r="D389" s="147" t="s">
        <v>149</v>
      </c>
      <c r="E389" s="147" t="s">
        <v>218</v>
      </c>
      <c r="F389" s="149">
        <v>121.53327556376449</v>
      </c>
      <c r="G389" s="148" t="s">
        <v>219</v>
      </c>
    </row>
    <row r="390" spans="1:7">
      <c r="A390" s="147">
        <v>2021</v>
      </c>
      <c r="B390" s="147" t="s">
        <v>233</v>
      </c>
      <c r="C390" s="148" t="s">
        <v>133</v>
      </c>
      <c r="D390" s="147" t="s">
        <v>149</v>
      </c>
      <c r="E390" s="147" t="s">
        <v>218</v>
      </c>
      <c r="F390" s="149">
        <v>152.12496280383991</v>
      </c>
      <c r="G390" s="148" t="s">
        <v>219</v>
      </c>
    </row>
    <row r="391" spans="1:7">
      <c r="A391" s="147">
        <v>2022</v>
      </c>
      <c r="B391" s="147" t="s">
        <v>233</v>
      </c>
      <c r="C391" s="148" t="s">
        <v>133</v>
      </c>
      <c r="D391" s="147" t="s">
        <v>149</v>
      </c>
      <c r="E391" s="147" t="s">
        <v>218</v>
      </c>
      <c r="F391" s="149">
        <v>188.39774251608986</v>
      </c>
      <c r="G391" s="148" t="s">
        <v>219</v>
      </c>
    </row>
    <row r="392" spans="1:7">
      <c r="A392" s="147" t="s">
        <v>185</v>
      </c>
      <c r="B392" s="147" t="s">
        <v>233</v>
      </c>
      <c r="C392" s="148" t="s">
        <v>133</v>
      </c>
      <c r="D392" s="147" t="s">
        <v>149</v>
      </c>
      <c r="E392" s="147" t="s">
        <v>218</v>
      </c>
      <c r="F392" s="149">
        <v>174.78942823019079</v>
      </c>
      <c r="G392" s="148" t="s">
        <v>219</v>
      </c>
    </row>
    <row r="393" spans="1:7">
      <c r="A393" s="147" t="s">
        <v>107</v>
      </c>
      <c r="B393" s="147" t="s">
        <v>233</v>
      </c>
      <c r="C393" s="148" t="s">
        <v>133</v>
      </c>
      <c r="D393" s="147" t="s">
        <v>149</v>
      </c>
      <c r="E393" s="147" t="s">
        <v>218</v>
      </c>
      <c r="F393" s="149">
        <v>149.9641087357565</v>
      </c>
      <c r="G393" s="148" t="s">
        <v>219</v>
      </c>
    </row>
    <row r="394" spans="1:7">
      <c r="A394" s="147">
        <v>2018</v>
      </c>
      <c r="B394" s="147" t="s">
        <v>234</v>
      </c>
      <c r="C394" s="148" t="s">
        <v>133</v>
      </c>
      <c r="D394" s="147" t="s">
        <v>136</v>
      </c>
      <c r="E394" s="147" t="s">
        <v>218</v>
      </c>
      <c r="F394" s="149">
        <v>10425.831231731017</v>
      </c>
      <c r="G394" s="148" t="s">
        <v>219</v>
      </c>
    </row>
    <row r="395" spans="1:7">
      <c r="A395" s="147">
        <v>2019</v>
      </c>
      <c r="B395" s="147" t="s">
        <v>234</v>
      </c>
      <c r="C395" s="148" t="s">
        <v>133</v>
      </c>
      <c r="D395" s="147" t="s">
        <v>136</v>
      </c>
      <c r="E395" s="147" t="s">
        <v>218</v>
      </c>
      <c r="F395" s="149">
        <v>10487.857385346591</v>
      </c>
      <c r="G395" s="148" t="s">
        <v>219</v>
      </c>
    </row>
    <row r="396" spans="1:7">
      <c r="A396" s="147">
        <v>2020</v>
      </c>
      <c r="B396" s="147" t="s">
        <v>234</v>
      </c>
      <c r="C396" s="148" t="s">
        <v>133</v>
      </c>
      <c r="D396" s="147" t="s">
        <v>136</v>
      </c>
      <c r="E396" s="147" t="s">
        <v>218</v>
      </c>
      <c r="F396" s="149">
        <v>9091.6596968649483</v>
      </c>
      <c r="G396" s="148" t="s">
        <v>219</v>
      </c>
    </row>
    <row r="397" spans="1:7">
      <c r="A397" s="147">
        <v>2021</v>
      </c>
      <c r="B397" s="147" t="s">
        <v>234</v>
      </c>
      <c r="C397" s="148" t="s">
        <v>133</v>
      </c>
      <c r="D397" s="147" t="s">
        <v>136</v>
      </c>
      <c r="E397" s="147" t="s">
        <v>218</v>
      </c>
      <c r="F397" s="149">
        <v>10679.611492792366</v>
      </c>
      <c r="G397" s="148" t="s">
        <v>219</v>
      </c>
    </row>
    <row r="398" spans="1:7">
      <c r="A398" s="147">
        <v>2022</v>
      </c>
      <c r="B398" s="147" t="s">
        <v>234</v>
      </c>
      <c r="C398" s="148" t="s">
        <v>133</v>
      </c>
      <c r="D398" s="147" t="s">
        <v>136</v>
      </c>
      <c r="E398" s="147" t="s">
        <v>218</v>
      </c>
      <c r="F398" s="149">
        <v>12490.037699297338</v>
      </c>
      <c r="G398" s="148" t="s">
        <v>219</v>
      </c>
    </row>
    <row r="399" spans="1:7">
      <c r="A399" s="147" t="s">
        <v>185</v>
      </c>
      <c r="B399" s="147" t="s">
        <v>234</v>
      </c>
      <c r="C399" s="148" t="s">
        <v>133</v>
      </c>
      <c r="D399" s="147" t="s">
        <v>136</v>
      </c>
      <c r="E399" s="147" t="s">
        <v>218</v>
      </c>
      <c r="F399" s="149">
        <v>11673.276693367514</v>
      </c>
      <c r="G399" s="148" t="s">
        <v>219</v>
      </c>
    </row>
    <row r="400" spans="1:7">
      <c r="A400" s="147" t="s">
        <v>107</v>
      </c>
      <c r="B400" s="147" t="s">
        <v>234</v>
      </c>
      <c r="C400" s="148" t="s">
        <v>133</v>
      </c>
      <c r="D400" s="147" t="s">
        <v>136</v>
      </c>
      <c r="E400" s="147" t="s">
        <v>218</v>
      </c>
      <c r="F400" s="149">
        <v>8517.2737903209418</v>
      </c>
      <c r="G400" s="148" t="s">
        <v>219</v>
      </c>
    </row>
    <row r="401" spans="1:7">
      <c r="A401" s="147">
        <v>2018</v>
      </c>
      <c r="B401" s="147" t="s">
        <v>235</v>
      </c>
      <c r="C401" s="148" t="s">
        <v>133</v>
      </c>
      <c r="D401" s="147" t="s">
        <v>0</v>
      </c>
      <c r="E401" s="147" t="s">
        <v>218</v>
      </c>
      <c r="F401" s="149">
        <v>350.23663201457327</v>
      </c>
      <c r="G401" s="148" t="s">
        <v>219</v>
      </c>
    </row>
    <row r="402" spans="1:7">
      <c r="A402" s="147">
        <v>2019</v>
      </c>
      <c r="B402" s="147" t="s">
        <v>235</v>
      </c>
      <c r="C402" s="148" t="s">
        <v>133</v>
      </c>
      <c r="D402" s="147" t="s">
        <v>0</v>
      </c>
      <c r="E402" s="147" t="s">
        <v>218</v>
      </c>
      <c r="F402" s="149">
        <v>363.07514811134672</v>
      </c>
      <c r="G402" s="148" t="s">
        <v>219</v>
      </c>
    </row>
    <row r="403" spans="1:7">
      <c r="A403" s="147">
        <v>2020</v>
      </c>
      <c r="B403" s="147" t="s">
        <v>235</v>
      </c>
      <c r="C403" s="148" t="s">
        <v>133</v>
      </c>
      <c r="D403" s="147" t="s">
        <v>0</v>
      </c>
      <c r="E403" s="147" t="s">
        <v>218</v>
      </c>
      <c r="F403" s="149">
        <v>364.13804468912099</v>
      </c>
      <c r="G403" s="148" t="s">
        <v>219</v>
      </c>
    </row>
    <row r="404" spans="1:7">
      <c r="A404" s="147">
        <v>2021</v>
      </c>
      <c r="B404" s="147" t="s">
        <v>235</v>
      </c>
      <c r="C404" s="148" t="s">
        <v>133</v>
      </c>
      <c r="D404" s="147" t="s">
        <v>0</v>
      </c>
      <c r="E404" s="147" t="s">
        <v>218</v>
      </c>
      <c r="F404" s="149">
        <v>369.83111853134028</v>
      </c>
      <c r="G404" s="148" t="s">
        <v>219</v>
      </c>
    </row>
    <row r="405" spans="1:7">
      <c r="A405" s="147">
        <v>2022</v>
      </c>
      <c r="B405" s="147" t="s">
        <v>235</v>
      </c>
      <c r="C405" s="148" t="s">
        <v>133</v>
      </c>
      <c r="D405" s="147" t="s">
        <v>0</v>
      </c>
      <c r="E405" s="147" t="s">
        <v>218</v>
      </c>
      <c r="F405" s="149">
        <v>372.43696161605345</v>
      </c>
      <c r="G405" s="148" t="s">
        <v>219</v>
      </c>
    </row>
    <row r="406" spans="1:7">
      <c r="A406" s="147" t="s">
        <v>185</v>
      </c>
      <c r="B406" s="147" t="s">
        <v>235</v>
      </c>
      <c r="C406" s="148" t="s">
        <v>133</v>
      </c>
      <c r="D406" s="147" t="s">
        <v>0</v>
      </c>
      <c r="E406" s="147" t="s">
        <v>218</v>
      </c>
      <c r="F406" s="149">
        <v>355.80188741856909</v>
      </c>
      <c r="G406" s="148" t="s">
        <v>219</v>
      </c>
    </row>
    <row r="407" spans="1:7">
      <c r="A407" s="147" t="s">
        <v>107</v>
      </c>
      <c r="B407" s="147" t="s">
        <v>235</v>
      </c>
      <c r="C407" s="148" t="s">
        <v>133</v>
      </c>
      <c r="D407" s="147" t="s">
        <v>0</v>
      </c>
      <c r="E407" s="147" t="s">
        <v>218</v>
      </c>
      <c r="F407" s="149">
        <v>407.65694594670504</v>
      </c>
      <c r="G407" s="148" t="s">
        <v>219</v>
      </c>
    </row>
    <row r="408" spans="1:7">
      <c r="A408" s="147">
        <v>2018</v>
      </c>
      <c r="B408" s="147" t="s">
        <v>235</v>
      </c>
      <c r="C408" s="148" t="s">
        <v>133</v>
      </c>
      <c r="D408" s="147" t="s">
        <v>1</v>
      </c>
      <c r="E408" s="147" t="s">
        <v>218</v>
      </c>
      <c r="F408" s="149">
        <v>44.278728416271527</v>
      </c>
      <c r="G408" s="148" t="s">
        <v>219</v>
      </c>
    </row>
    <row r="409" spans="1:7">
      <c r="A409" s="147">
        <v>2019</v>
      </c>
      <c r="B409" s="147" t="s">
        <v>235</v>
      </c>
      <c r="C409" s="148" t="s">
        <v>133</v>
      </c>
      <c r="D409" s="147" t="s">
        <v>1</v>
      </c>
      <c r="E409" s="147" t="s">
        <v>218</v>
      </c>
      <c r="F409" s="149">
        <v>61.975366516182675</v>
      </c>
      <c r="G409" s="148" t="s">
        <v>219</v>
      </c>
    </row>
    <row r="410" spans="1:7">
      <c r="A410" s="147">
        <v>2020</v>
      </c>
      <c r="B410" s="147" t="s">
        <v>235</v>
      </c>
      <c r="C410" s="148" t="s">
        <v>133</v>
      </c>
      <c r="D410" s="147" t="s">
        <v>1</v>
      </c>
      <c r="E410" s="147" t="s">
        <v>218</v>
      </c>
      <c r="F410" s="149">
        <v>36.205537927970582</v>
      </c>
      <c r="G410" s="148" t="s">
        <v>219</v>
      </c>
    </row>
    <row r="411" spans="1:7">
      <c r="A411" s="147">
        <v>2021</v>
      </c>
      <c r="B411" s="147" t="s">
        <v>235</v>
      </c>
      <c r="C411" s="148" t="s">
        <v>133</v>
      </c>
      <c r="D411" s="147" t="s">
        <v>1</v>
      </c>
      <c r="E411" s="147" t="s">
        <v>218</v>
      </c>
      <c r="F411" s="149">
        <v>63.616810504496669</v>
      </c>
      <c r="G411" s="148" t="s">
        <v>219</v>
      </c>
    </row>
    <row r="412" spans="1:7">
      <c r="A412" s="147">
        <v>2022</v>
      </c>
      <c r="B412" s="147" t="s">
        <v>235</v>
      </c>
      <c r="C412" s="148" t="s">
        <v>133</v>
      </c>
      <c r="D412" s="147" t="s">
        <v>1</v>
      </c>
      <c r="E412" s="147" t="s">
        <v>218</v>
      </c>
      <c r="F412" s="149">
        <v>66.172944615470684</v>
      </c>
      <c r="G412" s="148" t="s">
        <v>219</v>
      </c>
    </row>
    <row r="413" spans="1:7">
      <c r="A413" s="147" t="s">
        <v>185</v>
      </c>
      <c r="B413" s="147" t="s">
        <v>235</v>
      </c>
      <c r="C413" s="148" t="s">
        <v>133</v>
      </c>
      <c r="D413" s="147" t="s">
        <v>1</v>
      </c>
      <c r="E413" s="147" t="s">
        <v>218</v>
      </c>
      <c r="F413" s="149">
        <v>74.572272586700919</v>
      </c>
      <c r="G413" s="148" t="s">
        <v>219</v>
      </c>
    </row>
    <row r="414" spans="1:7">
      <c r="A414" s="147" t="s">
        <v>107</v>
      </c>
      <c r="B414" s="147" t="s">
        <v>235</v>
      </c>
      <c r="C414" s="148" t="s">
        <v>133</v>
      </c>
      <c r="D414" s="147" t="s">
        <v>1</v>
      </c>
      <c r="E414" s="147" t="s">
        <v>218</v>
      </c>
      <c r="F414" s="149">
        <v>157.91654867007801</v>
      </c>
      <c r="G414" s="148" t="s">
        <v>219</v>
      </c>
    </row>
    <row r="415" spans="1:7">
      <c r="A415" s="147">
        <v>2018</v>
      </c>
      <c r="B415" s="147" t="s">
        <v>235</v>
      </c>
      <c r="C415" s="148" t="s">
        <v>133</v>
      </c>
      <c r="D415" s="147" t="s">
        <v>2</v>
      </c>
      <c r="E415" s="147" t="s">
        <v>218</v>
      </c>
      <c r="F415" s="149">
        <v>236.18791003461044</v>
      </c>
      <c r="G415" s="148" t="s">
        <v>219</v>
      </c>
    </row>
    <row r="416" spans="1:7">
      <c r="A416" s="147">
        <v>2019</v>
      </c>
      <c r="B416" s="147" t="s">
        <v>235</v>
      </c>
      <c r="C416" s="148" t="s">
        <v>133</v>
      </c>
      <c r="D416" s="147" t="s">
        <v>2</v>
      </c>
      <c r="E416" s="147" t="s">
        <v>218</v>
      </c>
      <c r="F416" s="149">
        <v>228.56872000629747</v>
      </c>
      <c r="G416" s="148" t="s">
        <v>219</v>
      </c>
    </row>
    <row r="417" spans="1:7">
      <c r="A417" s="147">
        <v>2020</v>
      </c>
      <c r="B417" s="147" t="s">
        <v>235</v>
      </c>
      <c r="C417" s="148" t="s">
        <v>133</v>
      </c>
      <c r="D417" s="147" t="s">
        <v>2</v>
      </c>
      <c r="E417" s="147" t="s">
        <v>218</v>
      </c>
      <c r="F417" s="149">
        <v>185.56495581203748</v>
      </c>
      <c r="G417" s="148" t="s">
        <v>219</v>
      </c>
    </row>
    <row r="418" spans="1:7">
      <c r="A418" s="147">
        <v>2021</v>
      </c>
      <c r="B418" s="147" t="s">
        <v>235</v>
      </c>
      <c r="C418" s="148" t="s">
        <v>133</v>
      </c>
      <c r="D418" s="147" t="s">
        <v>2</v>
      </c>
      <c r="E418" s="147" t="s">
        <v>218</v>
      </c>
      <c r="F418" s="149">
        <v>192.00131694747469</v>
      </c>
      <c r="G418" s="148" t="s">
        <v>219</v>
      </c>
    </row>
    <row r="419" spans="1:7">
      <c r="A419" s="147">
        <v>2022</v>
      </c>
      <c r="B419" s="147" t="s">
        <v>235</v>
      </c>
      <c r="C419" s="148" t="s">
        <v>133</v>
      </c>
      <c r="D419" s="147" t="s">
        <v>2</v>
      </c>
      <c r="E419" s="147" t="s">
        <v>218</v>
      </c>
      <c r="F419" s="149">
        <v>189.66768910725423</v>
      </c>
      <c r="G419" s="148" t="s">
        <v>219</v>
      </c>
    </row>
    <row r="420" spans="1:7">
      <c r="A420" s="147" t="s">
        <v>185</v>
      </c>
      <c r="B420" s="147" t="s">
        <v>235</v>
      </c>
      <c r="C420" s="148" t="s">
        <v>133</v>
      </c>
      <c r="D420" s="147" t="s">
        <v>2</v>
      </c>
      <c r="E420" s="147" t="s">
        <v>218</v>
      </c>
      <c r="F420" s="149">
        <v>220.6024158963842</v>
      </c>
      <c r="G420" s="148" t="s">
        <v>219</v>
      </c>
    </row>
    <row r="421" spans="1:7">
      <c r="A421" s="147" t="s">
        <v>107</v>
      </c>
      <c r="B421" s="147" t="s">
        <v>235</v>
      </c>
      <c r="C421" s="148" t="s">
        <v>133</v>
      </c>
      <c r="D421" s="147" t="s">
        <v>2</v>
      </c>
      <c r="E421" s="147" t="s">
        <v>218</v>
      </c>
      <c r="F421" s="149">
        <v>274.60778284957894</v>
      </c>
      <c r="G421" s="148" t="s">
        <v>219</v>
      </c>
    </row>
    <row r="422" spans="1:7">
      <c r="A422" s="147">
        <v>2018</v>
      </c>
      <c r="B422" s="147" t="s">
        <v>235</v>
      </c>
      <c r="C422" s="148" t="s">
        <v>133</v>
      </c>
      <c r="D422" s="147" t="s">
        <v>68</v>
      </c>
      <c r="E422" s="147" t="s">
        <v>218</v>
      </c>
      <c r="F422" s="149">
        <v>357.12053004503355</v>
      </c>
      <c r="G422" s="148" t="s">
        <v>219</v>
      </c>
    </row>
    <row r="423" spans="1:7">
      <c r="A423" s="147">
        <v>2019</v>
      </c>
      <c r="B423" s="147" t="s">
        <v>235</v>
      </c>
      <c r="C423" s="148" t="s">
        <v>133</v>
      </c>
      <c r="D423" s="147" t="s">
        <v>68</v>
      </c>
      <c r="E423" s="147" t="s">
        <v>218</v>
      </c>
      <c r="F423" s="149">
        <v>343.76341526943742</v>
      </c>
      <c r="G423" s="148" t="s">
        <v>219</v>
      </c>
    </row>
    <row r="424" spans="1:7">
      <c r="A424" s="147">
        <v>2020</v>
      </c>
      <c r="B424" s="147" t="s">
        <v>235</v>
      </c>
      <c r="C424" s="148" t="s">
        <v>133</v>
      </c>
      <c r="D424" s="147" t="s">
        <v>68</v>
      </c>
      <c r="E424" s="147" t="s">
        <v>218</v>
      </c>
      <c r="F424" s="149">
        <v>399.18613988177492</v>
      </c>
      <c r="G424" s="148" t="s">
        <v>219</v>
      </c>
    </row>
    <row r="425" spans="1:7">
      <c r="A425" s="147">
        <v>2021</v>
      </c>
      <c r="B425" s="147" t="s">
        <v>235</v>
      </c>
      <c r="C425" s="148" t="s">
        <v>133</v>
      </c>
      <c r="D425" s="147" t="s">
        <v>68</v>
      </c>
      <c r="E425" s="147" t="s">
        <v>218</v>
      </c>
      <c r="F425" s="149">
        <v>460.68013442679876</v>
      </c>
      <c r="G425" s="148" t="s">
        <v>219</v>
      </c>
    </row>
    <row r="426" spans="1:7">
      <c r="A426" s="147">
        <v>2022</v>
      </c>
      <c r="B426" s="147" t="s">
        <v>235</v>
      </c>
      <c r="C426" s="148" t="s">
        <v>133</v>
      </c>
      <c r="D426" s="147" t="s">
        <v>68</v>
      </c>
      <c r="E426" s="147" t="s">
        <v>218</v>
      </c>
      <c r="F426" s="149">
        <v>467.58498415610916</v>
      </c>
      <c r="G426" s="148" t="s">
        <v>219</v>
      </c>
    </row>
    <row r="427" spans="1:7">
      <c r="A427" s="147" t="s">
        <v>185</v>
      </c>
      <c r="B427" s="147" t="s">
        <v>235</v>
      </c>
      <c r="C427" s="148" t="s">
        <v>133</v>
      </c>
      <c r="D427" s="147" t="s">
        <v>68</v>
      </c>
      <c r="E427" s="147" t="s">
        <v>218</v>
      </c>
      <c r="F427" s="149">
        <v>401.46438347085427</v>
      </c>
      <c r="G427" s="148" t="s">
        <v>219</v>
      </c>
    </row>
    <row r="428" spans="1:7">
      <c r="A428" s="147" t="s">
        <v>107</v>
      </c>
      <c r="B428" s="147" t="s">
        <v>235</v>
      </c>
      <c r="C428" s="148" t="s">
        <v>133</v>
      </c>
      <c r="D428" s="147" t="s">
        <v>68</v>
      </c>
      <c r="E428" s="147" t="s">
        <v>218</v>
      </c>
      <c r="F428" s="149">
        <v>448.94430385466234</v>
      </c>
      <c r="G428" s="148" t="s">
        <v>219</v>
      </c>
    </row>
    <row r="429" spans="1:7">
      <c r="A429" s="147">
        <v>2018</v>
      </c>
      <c r="B429" s="147" t="s">
        <v>235</v>
      </c>
      <c r="C429" s="148" t="s">
        <v>133</v>
      </c>
      <c r="D429" s="147" t="s">
        <v>4</v>
      </c>
      <c r="E429" s="147" t="s">
        <v>218</v>
      </c>
      <c r="F429" s="149">
        <v>610.55649101900542</v>
      </c>
      <c r="G429" s="148" t="s">
        <v>219</v>
      </c>
    </row>
    <row r="430" spans="1:7">
      <c r="A430" s="147">
        <v>2019</v>
      </c>
      <c r="B430" s="147" t="s">
        <v>235</v>
      </c>
      <c r="C430" s="148" t="s">
        <v>133</v>
      </c>
      <c r="D430" s="147" t="s">
        <v>4</v>
      </c>
      <c r="E430" s="147" t="s">
        <v>218</v>
      </c>
      <c r="F430" s="149">
        <v>785.08458876857333</v>
      </c>
      <c r="G430" s="148" t="s">
        <v>219</v>
      </c>
    </row>
    <row r="431" spans="1:7">
      <c r="A431" s="147">
        <v>2020</v>
      </c>
      <c r="B431" s="147" t="s">
        <v>235</v>
      </c>
      <c r="C431" s="148" t="s">
        <v>133</v>
      </c>
      <c r="D431" s="147" t="s">
        <v>4</v>
      </c>
      <c r="E431" s="147" t="s">
        <v>218</v>
      </c>
      <c r="F431" s="149">
        <v>464.27134249808927</v>
      </c>
      <c r="G431" s="148" t="s">
        <v>219</v>
      </c>
    </row>
    <row r="432" spans="1:7">
      <c r="A432" s="147">
        <v>2021</v>
      </c>
      <c r="B432" s="147" t="s">
        <v>235</v>
      </c>
      <c r="C432" s="148" t="s">
        <v>133</v>
      </c>
      <c r="D432" s="147" t="s">
        <v>4</v>
      </c>
      <c r="E432" s="147" t="s">
        <v>218</v>
      </c>
      <c r="F432" s="149">
        <v>768.96585114701452</v>
      </c>
      <c r="G432" s="148" t="s">
        <v>219</v>
      </c>
    </row>
    <row r="433" spans="1:7">
      <c r="A433" s="147">
        <v>2022</v>
      </c>
      <c r="B433" s="147" t="s">
        <v>235</v>
      </c>
      <c r="C433" s="148" t="s">
        <v>133</v>
      </c>
      <c r="D433" s="147" t="s">
        <v>4</v>
      </c>
      <c r="E433" s="147" t="s">
        <v>218</v>
      </c>
      <c r="F433" s="149">
        <v>752.78228575901915</v>
      </c>
      <c r="G433" s="148" t="s">
        <v>219</v>
      </c>
    </row>
    <row r="434" spans="1:7">
      <c r="A434" s="147" t="s">
        <v>185</v>
      </c>
      <c r="B434" s="147" t="s">
        <v>235</v>
      </c>
      <c r="C434" s="148" t="s">
        <v>133</v>
      </c>
      <c r="D434" s="147" t="s">
        <v>4</v>
      </c>
      <c r="E434" s="147" t="s">
        <v>218</v>
      </c>
      <c r="F434" s="149">
        <v>851.04217679913211</v>
      </c>
      <c r="G434" s="148" t="s">
        <v>219</v>
      </c>
    </row>
    <row r="435" spans="1:7">
      <c r="A435" s="147" t="s">
        <v>107</v>
      </c>
      <c r="B435" s="147" t="s">
        <v>235</v>
      </c>
      <c r="C435" s="148" t="s">
        <v>133</v>
      </c>
      <c r="D435" s="147" t="s">
        <v>4</v>
      </c>
      <c r="E435" s="147" t="s">
        <v>218</v>
      </c>
      <c r="F435" s="149">
        <v>1066.5608616986626</v>
      </c>
      <c r="G435" s="148" t="s">
        <v>219</v>
      </c>
    </row>
    <row r="436" spans="1:7">
      <c r="A436" s="147">
        <v>2018</v>
      </c>
      <c r="B436" s="147" t="s">
        <v>235</v>
      </c>
      <c r="C436" s="148" t="s">
        <v>133</v>
      </c>
      <c r="D436" s="147" t="s">
        <v>5</v>
      </c>
      <c r="E436" s="147" t="s">
        <v>218</v>
      </c>
      <c r="F436" s="149">
        <v>351.82527534632175</v>
      </c>
      <c r="G436" s="148" t="s">
        <v>219</v>
      </c>
    </row>
    <row r="437" spans="1:7">
      <c r="A437" s="147">
        <v>2019</v>
      </c>
      <c r="B437" s="147" t="s">
        <v>235</v>
      </c>
      <c r="C437" s="148" t="s">
        <v>133</v>
      </c>
      <c r="D437" s="147" t="s">
        <v>5</v>
      </c>
      <c r="E437" s="147" t="s">
        <v>218</v>
      </c>
      <c r="F437" s="149">
        <v>353.14940027312463</v>
      </c>
      <c r="G437" s="148" t="s">
        <v>219</v>
      </c>
    </row>
    <row r="438" spans="1:7">
      <c r="A438" s="147">
        <v>2020</v>
      </c>
      <c r="B438" s="147" t="s">
        <v>235</v>
      </c>
      <c r="C438" s="148" t="s">
        <v>133</v>
      </c>
      <c r="D438" s="147" t="s">
        <v>5</v>
      </c>
      <c r="E438" s="147" t="s">
        <v>218</v>
      </c>
      <c r="F438" s="149">
        <v>308.22699377129169</v>
      </c>
      <c r="G438" s="148" t="s">
        <v>219</v>
      </c>
    </row>
    <row r="439" spans="1:7">
      <c r="A439" s="147">
        <v>2021</v>
      </c>
      <c r="B439" s="147" t="s">
        <v>235</v>
      </c>
      <c r="C439" s="148" t="s">
        <v>133</v>
      </c>
      <c r="D439" s="147" t="s">
        <v>5</v>
      </c>
      <c r="E439" s="147" t="s">
        <v>218</v>
      </c>
      <c r="F439" s="149">
        <v>426.55342217084086</v>
      </c>
      <c r="G439" s="148" t="s">
        <v>219</v>
      </c>
    </row>
    <row r="440" spans="1:7">
      <c r="A440" s="147">
        <v>2022</v>
      </c>
      <c r="B440" s="147" t="s">
        <v>235</v>
      </c>
      <c r="C440" s="148" t="s">
        <v>133</v>
      </c>
      <c r="D440" s="147" t="s">
        <v>5</v>
      </c>
      <c r="E440" s="147" t="s">
        <v>218</v>
      </c>
      <c r="F440" s="149">
        <v>595.72236592104207</v>
      </c>
      <c r="G440" s="148" t="s">
        <v>219</v>
      </c>
    </row>
    <row r="441" spans="1:7">
      <c r="A441" s="147" t="s">
        <v>185</v>
      </c>
      <c r="B441" s="147" t="s">
        <v>235</v>
      </c>
      <c r="C441" s="148" t="s">
        <v>133</v>
      </c>
      <c r="D441" s="147" t="s">
        <v>5</v>
      </c>
      <c r="E441" s="147" t="s">
        <v>218</v>
      </c>
      <c r="F441" s="149">
        <v>539.7927127301881</v>
      </c>
      <c r="G441" s="148" t="s">
        <v>219</v>
      </c>
    </row>
    <row r="442" spans="1:7">
      <c r="A442" s="147" t="s">
        <v>107</v>
      </c>
      <c r="B442" s="147" t="s">
        <v>235</v>
      </c>
      <c r="C442" s="148" t="s">
        <v>133</v>
      </c>
      <c r="D442" s="147" t="s">
        <v>5</v>
      </c>
      <c r="E442" s="147" t="s">
        <v>218</v>
      </c>
      <c r="F442" s="149">
        <v>555.15411548562338</v>
      </c>
      <c r="G442" s="148" t="s">
        <v>219</v>
      </c>
    </row>
    <row r="443" spans="1:7">
      <c r="A443" s="147">
        <v>2018</v>
      </c>
      <c r="B443" s="147" t="s">
        <v>235</v>
      </c>
      <c r="C443" s="148" t="s">
        <v>133</v>
      </c>
      <c r="D443" s="147" t="s">
        <v>6</v>
      </c>
      <c r="E443" s="147" t="s">
        <v>218</v>
      </c>
      <c r="F443" s="149">
        <v>217.74390182207159</v>
      </c>
      <c r="G443" s="148" t="s">
        <v>219</v>
      </c>
    </row>
    <row r="444" spans="1:7">
      <c r="A444" s="147">
        <v>2019</v>
      </c>
      <c r="B444" s="147" t="s">
        <v>235</v>
      </c>
      <c r="C444" s="148" t="s">
        <v>133</v>
      </c>
      <c r="D444" s="147" t="s">
        <v>6</v>
      </c>
      <c r="E444" s="147" t="s">
        <v>218</v>
      </c>
      <c r="F444" s="149">
        <v>233.00882004549095</v>
      </c>
      <c r="G444" s="148" t="s">
        <v>219</v>
      </c>
    </row>
    <row r="445" spans="1:7">
      <c r="A445" s="147">
        <v>2020</v>
      </c>
      <c r="B445" s="147" t="s">
        <v>235</v>
      </c>
      <c r="C445" s="148" t="s">
        <v>133</v>
      </c>
      <c r="D445" s="147" t="s">
        <v>6</v>
      </c>
      <c r="E445" s="147" t="s">
        <v>218</v>
      </c>
      <c r="F445" s="149">
        <v>169.72593404188643</v>
      </c>
      <c r="G445" s="148" t="s">
        <v>219</v>
      </c>
    </row>
    <row r="446" spans="1:7">
      <c r="A446" s="147">
        <v>2021</v>
      </c>
      <c r="B446" s="147" t="s">
        <v>235</v>
      </c>
      <c r="C446" s="148" t="s">
        <v>133</v>
      </c>
      <c r="D446" s="147" t="s">
        <v>6</v>
      </c>
      <c r="E446" s="147" t="s">
        <v>218</v>
      </c>
      <c r="F446" s="149">
        <v>217.18191782109599</v>
      </c>
      <c r="G446" s="148" t="s">
        <v>219</v>
      </c>
    </row>
    <row r="447" spans="1:7">
      <c r="A447" s="147">
        <v>2022</v>
      </c>
      <c r="B447" s="147" t="s">
        <v>235</v>
      </c>
      <c r="C447" s="148" t="s">
        <v>133</v>
      </c>
      <c r="D447" s="147" t="s">
        <v>6</v>
      </c>
      <c r="E447" s="147" t="s">
        <v>218</v>
      </c>
      <c r="F447" s="149">
        <v>219.45365900119916</v>
      </c>
      <c r="G447" s="148" t="s">
        <v>219</v>
      </c>
    </row>
    <row r="448" spans="1:7">
      <c r="A448" s="147" t="s">
        <v>185</v>
      </c>
      <c r="B448" s="147" t="s">
        <v>235</v>
      </c>
      <c r="C448" s="148" t="s">
        <v>133</v>
      </c>
      <c r="D448" s="147" t="s">
        <v>6</v>
      </c>
      <c r="E448" s="147" t="s">
        <v>218</v>
      </c>
      <c r="F448" s="149">
        <v>295.97231947445505</v>
      </c>
      <c r="G448" s="148" t="s">
        <v>219</v>
      </c>
    </row>
    <row r="449" spans="1:7">
      <c r="A449" s="147" t="s">
        <v>107</v>
      </c>
      <c r="B449" s="147" t="s">
        <v>235</v>
      </c>
      <c r="C449" s="148" t="s">
        <v>133</v>
      </c>
      <c r="D449" s="147" t="s">
        <v>6</v>
      </c>
      <c r="E449" s="147" t="s">
        <v>218</v>
      </c>
      <c r="F449" s="149">
        <v>385.47747034103463</v>
      </c>
      <c r="G449" s="148" t="s">
        <v>219</v>
      </c>
    </row>
    <row r="450" spans="1:7">
      <c r="A450" s="147">
        <v>2018</v>
      </c>
      <c r="B450" s="147" t="s">
        <v>235</v>
      </c>
      <c r="C450" s="148" t="s">
        <v>133</v>
      </c>
      <c r="D450" s="147" t="s">
        <v>7</v>
      </c>
      <c r="E450" s="147" t="s">
        <v>218</v>
      </c>
      <c r="F450" s="149">
        <v>22.61111113549639</v>
      </c>
      <c r="G450" s="148" t="s">
        <v>219</v>
      </c>
    </row>
    <row r="451" spans="1:7">
      <c r="A451" s="147">
        <v>2019</v>
      </c>
      <c r="B451" s="147" t="s">
        <v>235</v>
      </c>
      <c r="C451" s="148" t="s">
        <v>133</v>
      </c>
      <c r="D451" s="147" t="s">
        <v>7</v>
      </c>
      <c r="E451" s="147" t="s">
        <v>218</v>
      </c>
      <c r="F451" s="149">
        <v>19.899305476785603</v>
      </c>
      <c r="G451" s="148" t="s">
        <v>219</v>
      </c>
    </row>
    <row r="452" spans="1:7">
      <c r="A452" s="147">
        <v>2020</v>
      </c>
      <c r="B452" s="147" t="s">
        <v>235</v>
      </c>
      <c r="C452" s="148" t="s">
        <v>133</v>
      </c>
      <c r="D452" s="147" t="s">
        <v>7</v>
      </c>
      <c r="E452" s="147" t="s">
        <v>218</v>
      </c>
      <c r="F452" s="149">
        <v>6.4842736909616825</v>
      </c>
      <c r="G452" s="148" t="s">
        <v>219</v>
      </c>
    </row>
    <row r="453" spans="1:7">
      <c r="A453" s="147">
        <v>2021</v>
      </c>
      <c r="B453" s="147" t="s">
        <v>235</v>
      </c>
      <c r="C453" s="148" t="s">
        <v>133</v>
      </c>
      <c r="D453" s="147" t="s">
        <v>7</v>
      </c>
      <c r="E453" s="147" t="s">
        <v>218</v>
      </c>
      <c r="F453" s="149">
        <v>9.6745448234481195</v>
      </c>
      <c r="G453" s="148" t="s">
        <v>219</v>
      </c>
    </row>
    <row r="454" spans="1:7">
      <c r="A454" s="147">
        <v>2022</v>
      </c>
      <c r="B454" s="147" t="s">
        <v>235</v>
      </c>
      <c r="C454" s="148" t="s">
        <v>133</v>
      </c>
      <c r="D454" s="147" t="s">
        <v>7</v>
      </c>
      <c r="E454" s="147" t="s">
        <v>218</v>
      </c>
      <c r="F454" s="149">
        <v>36.79415147628773</v>
      </c>
      <c r="G454" s="148" t="s">
        <v>219</v>
      </c>
    </row>
    <row r="455" spans="1:7">
      <c r="A455" s="147" t="s">
        <v>185</v>
      </c>
      <c r="B455" s="147" t="s">
        <v>235</v>
      </c>
      <c r="C455" s="148" t="s">
        <v>133</v>
      </c>
      <c r="D455" s="147" t="s">
        <v>7</v>
      </c>
      <c r="E455" s="147" t="s">
        <v>218</v>
      </c>
      <c r="F455" s="149">
        <v>39.726204535268103</v>
      </c>
      <c r="G455" s="148" t="s">
        <v>219</v>
      </c>
    </row>
    <row r="456" spans="1:7">
      <c r="A456" s="147" t="s">
        <v>107</v>
      </c>
      <c r="B456" s="147" t="s">
        <v>235</v>
      </c>
      <c r="C456" s="148" t="s">
        <v>133</v>
      </c>
      <c r="D456" s="147" t="s">
        <v>7</v>
      </c>
      <c r="E456" s="147" t="s">
        <v>218</v>
      </c>
      <c r="F456" s="149">
        <v>49.318872677871006</v>
      </c>
      <c r="G456" s="148" t="s">
        <v>219</v>
      </c>
    </row>
    <row r="457" spans="1:7">
      <c r="A457" s="147">
        <v>2018</v>
      </c>
      <c r="B457" s="147" t="s">
        <v>235</v>
      </c>
      <c r="C457" s="148" t="s">
        <v>133</v>
      </c>
      <c r="D457" s="147" t="s">
        <v>8</v>
      </c>
      <c r="E457" s="147" t="s">
        <v>218</v>
      </c>
      <c r="F457" s="149">
        <v>257.81815465000926</v>
      </c>
      <c r="G457" s="148" t="s">
        <v>219</v>
      </c>
    </row>
    <row r="458" spans="1:7">
      <c r="A458" s="147">
        <v>2019</v>
      </c>
      <c r="B458" s="147" t="s">
        <v>235</v>
      </c>
      <c r="C458" s="148" t="s">
        <v>133</v>
      </c>
      <c r="D458" s="147" t="s">
        <v>8</v>
      </c>
      <c r="E458" s="147" t="s">
        <v>218</v>
      </c>
      <c r="F458" s="149">
        <v>257.66557635714594</v>
      </c>
      <c r="G458" s="148" t="s">
        <v>219</v>
      </c>
    </row>
    <row r="459" spans="1:7">
      <c r="A459" s="147">
        <v>2020</v>
      </c>
      <c r="B459" s="147" t="s">
        <v>235</v>
      </c>
      <c r="C459" s="148" t="s">
        <v>133</v>
      </c>
      <c r="D459" s="147" t="s">
        <v>8</v>
      </c>
      <c r="E459" s="147" t="s">
        <v>218</v>
      </c>
      <c r="F459" s="149">
        <v>260.87947585846746</v>
      </c>
      <c r="G459" s="148" t="s">
        <v>219</v>
      </c>
    </row>
    <row r="460" spans="1:7">
      <c r="A460" s="147">
        <v>2021</v>
      </c>
      <c r="B460" s="147" t="s">
        <v>235</v>
      </c>
      <c r="C460" s="148" t="s">
        <v>133</v>
      </c>
      <c r="D460" s="147" t="s">
        <v>8</v>
      </c>
      <c r="E460" s="147" t="s">
        <v>218</v>
      </c>
      <c r="F460" s="149">
        <v>276.02224632256059</v>
      </c>
      <c r="G460" s="148" t="s">
        <v>219</v>
      </c>
    </row>
    <row r="461" spans="1:7">
      <c r="A461" s="147">
        <v>2022</v>
      </c>
      <c r="B461" s="147" t="s">
        <v>235</v>
      </c>
      <c r="C461" s="148" t="s">
        <v>133</v>
      </c>
      <c r="D461" s="147" t="s">
        <v>8</v>
      </c>
      <c r="E461" s="147" t="s">
        <v>218</v>
      </c>
      <c r="F461" s="149">
        <v>272.51756552245757</v>
      </c>
      <c r="G461" s="148" t="s">
        <v>219</v>
      </c>
    </row>
    <row r="462" spans="1:7">
      <c r="A462" s="147" t="s">
        <v>185</v>
      </c>
      <c r="B462" s="147" t="s">
        <v>235</v>
      </c>
      <c r="C462" s="148" t="s">
        <v>133</v>
      </c>
      <c r="D462" s="147" t="s">
        <v>8</v>
      </c>
      <c r="E462" s="147" t="s">
        <v>218</v>
      </c>
      <c r="F462" s="149">
        <v>292.02723177176381</v>
      </c>
      <c r="G462" s="148" t="s">
        <v>219</v>
      </c>
    </row>
    <row r="463" spans="1:7">
      <c r="A463" s="147" t="s">
        <v>107</v>
      </c>
      <c r="B463" s="147" t="s">
        <v>235</v>
      </c>
      <c r="C463" s="148" t="s">
        <v>133</v>
      </c>
      <c r="D463" s="147" t="s">
        <v>8</v>
      </c>
      <c r="E463" s="147" t="s">
        <v>218</v>
      </c>
      <c r="F463" s="149">
        <v>326.65778207768358</v>
      </c>
      <c r="G463" s="148" t="s">
        <v>219</v>
      </c>
    </row>
    <row r="464" spans="1:7">
      <c r="A464" s="147">
        <v>2018</v>
      </c>
      <c r="B464" s="147" t="s">
        <v>235</v>
      </c>
      <c r="C464" s="148" t="s">
        <v>133</v>
      </c>
      <c r="D464" s="147" t="s">
        <v>9</v>
      </c>
      <c r="E464" s="147" t="s">
        <v>218</v>
      </c>
      <c r="F464" s="149">
        <v>182.50157552788778</v>
      </c>
      <c r="G464" s="148" t="s">
        <v>219</v>
      </c>
    </row>
    <row r="465" spans="1:7">
      <c r="A465" s="147">
        <v>2019</v>
      </c>
      <c r="B465" s="147" t="s">
        <v>235</v>
      </c>
      <c r="C465" s="148" t="s">
        <v>133</v>
      </c>
      <c r="D465" s="147" t="s">
        <v>9</v>
      </c>
      <c r="E465" s="147" t="s">
        <v>218</v>
      </c>
      <c r="F465" s="149">
        <v>184.92203181813872</v>
      </c>
      <c r="G465" s="148" t="s">
        <v>219</v>
      </c>
    </row>
    <row r="466" spans="1:7">
      <c r="A466" s="147">
        <v>2020</v>
      </c>
      <c r="B466" s="147" t="s">
        <v>235</v>
      </c>
      <c r="C466" s="148" t="s">
        <v>133</v>
      </c>
      <c r="D466" s="147" t="s">
        <v>9</v>
      </c>
      <c r="E466" s="147" t="s">
        <v>218</v>
      </c>
      <c r="F466" s="149">
        <v>166.81458942850804</v>
      </c>
      <c r="G466" s="148" t="s">
        <v>219</v>
      </c>
    </row>
    <row r="467" spans="1:7">
      <c r="A467" s="147">
        <v>2021</v>
      </c>
      <c r="B467" s="147" t="s">
        <v>235</v>
      </c>
      <c r="C467" s="148" t="s">
        <v>133</v>
      </c>
      <c r="D467" s="147" t="s">
        <v>9</v>
      </c>
      <c r="E467" s="147" t="s">
        <v>218</v>
      </c>
      <c r="F467" s="149">
        <v>184.58574572668576</v>
      </c>
      <c r="G467" s="148" t="s">
        <v>219</v>
      </c>
    </row>
    <row r="468" spans="1:7">
      <c r="A468" s="147">
        <v>2022</v>
      </c>
      <c r="B468" s="147" t="s">
        <v>235</v>
      </c>
      <c r="C468" s="148" t="s">
        <v>133</v>
      </c>
      <c r="D468" s="147" t="s">
        <v>9</v>
      </c>
      <c r="E468" s="147" t="s">
        <v>218</v>
      </c>
      <c r="F468" s="149">
        <v>181.92632620465207</v>
      </c>
      <c r="G468" s="148" t="s">
        <v>219</v>
      </c>
    </row>
    <row r="469" spans="1:7">
      <c r="A469" s="147" t="s">
        <v>185</v>
      </c>
      <c r="B469" s="147" t="s">
        <v>235</v>
      </c>
      <c r="C469" s="148" t="s">
        <v>133</v>
      </c>
      <c r="D469" s="147" t="s">
        <v>9</v>
      </c>
      <c r="E469" s="147" t="s">
        <v>218</v>
      </c>
      <c r="F469" s="149">
        <v>183.57269216446468</v>
      </c>
      <c r="G469" s="148" t="s">
        <v>219</v>
      </c>
    </row>
    <row r="470" spans="1:7">
      <c r="A470" s="147" t="s">
        <v>107</v>
      </c>
      <c r="B470" s="147" t="s">
        <v>235</v>
      </c>
      <c r="C470" s="148" t="s">
        <v>133</v>
      </c>
      <c r="D470" s="147" t="s">
        <v>9</v>
      </c>
      <c r="E470" s="147" t="s">
        <v>218</v>
      </c>
      <c r="F470" s="149">
        <v>214.45885775645399</v>
      </c>
      <c r="G470" s="148" t="s">
        <v>219</v>
      </c>
    </row>
    <row r="471" spans="1:7">
      <c r="A471" s="147">
        <v>2018</v>
      </c>
      <c r="B471" s="147" t="s">
        <v>235</v>
      </c>
      <c r="C471" s="148" t="s">
        <v>133</v>
      </c>
      <c r="D471" s="147" t="s">
        <v>70</v>
      </c>
      <c r="E471" s="147" t="s">
        <v>218</v>
      </c>
      <c r="F471" s="149">
        <v>310.55560743758497</v>
      </c>
      <c r="G471" s="148" t="s">
        <v>219</v>
      </c>
    </row>
    <row r="472" spans="1:7">
      <c r="A472" s="147">
        <v>2019</v>
      </c>
      <c r="B472" s="147" t="s">
        <v>235</v>
      </c>
      <c r="C472" s="148" t="s">
        <v>133</v>
      </c>
      <c r="D472" s="147" t="s">
        <v>70</v>
      </c>
      <c r="E472" s="147" t="s">
        <v>218</v>
      </c>
      <c r="F472" s="149">
        <v>350.60474094546788</v>
      </c>
      <c r="G472" s="148" t="s">
        <v>219</v>
      </c>
    </row>
    <row r="473" spans="1:7">
      <c r="A473" s="147">
        <v>2020</v>
      </c>
      <c r="B473" s="147" t="s">
        <v>235</v>
      </c>
      <c r="C473" s="148" t="s">
        <v>133</v>
      </c>
      <c r="D473" s="147" t="s">
        <v>70</v>
      </c>
      <c r="E473" s="147" t="s">
        <v>218</v>
      </c>
      <c r="F473" s="149">
        <v>322.57232838371863</v>
      </c>
      <c r="G473" s="148" t="s">
        <v>219</v>
      </c>
    </row>
    <row r="474" spans="1:7">
      <c r="A474" s="147">
        <v>2021</v>
      </c>
      <c r="B474" s="147" t="s">
        <v>235</v>
      </c>
      <c r="C474" s="148" t="s">
        <v>133</v>
      </c>
      <c r="D474" s="147" t="s">
        <v>70</v>
      </c>
      <c r="E474" s="147" t="s">
        <v>218</v>
      </c>
      <c r="F474" s="149">
        <v>369.70813331875866</v>
      </c>
      <c r="G474" s="148" t="s">
        <v>219</v>
      </c>
    </row>
    <row r="475" spans="1:7">
      <c r="A475" s="147">
        <v>2022</v>
      </c>
      <c r="B475" s="147" t="s">
        <v>235</v>
      </c>
      <c r="C475" s="148" t="s">
        <v>133</v>
      </c>
      <c r="D475" s="147" t="s">
        <v>70</v>
      </c>
      <c r="E475" s="147" t="s">
        <v>218</v>
      </c>
      <c r="F475" s="149">
        <v>376.80926880215651</v>
      </c>
      <c r="G475" s="148" t="s">
        <v>219</v>
      </c>
    </row>
    <row r="476" spans="1:7">
      <c r="A476" s="147" t="s">
        <v>185</v>
      </c>
      <c r="B476" s="147" t="s">
        <v>235</v>
      </c>
      <c r="C476" s="148" t="s">
        <v>133</v>
      </c>
      <c r="D476" s="147" t="s">
        <v>70</v>
      </c>
      <c r="E476" s="147" t="s">
        <v>218</v>
      </c>
      <c r="F476" s="149">
        <v>387.12411521214364</v>
      </c>
      <c r="G476" s="148" t="s">
        <v>219</v>
      </c>
    </row>
    <row r="477" spans="1:7">
      <c r="A477" s="147" t="s">
        <v>107</v>
      </c>
      <c r="B477" s="147" t="s">
        <v>235</v>
      </c>
      <c r="C477" s="148" t="s">
        <v>133</v>
      </c>
      <c r="D477" s="147" t="s">
        <v>70</v>
      </c>
      <c r="E477" s="147" t="s">
        <v>218</v>
      </c>
      <c r="F477" s="149">
        <v>416.8050983290716</v>
      </c>
      <c r="G477" s="148" t="s">
        <v>219</v>
      </c>
    </row>
    <row r="478" spans="1:7">
      <c r="A478" s="147">
        <v>2018</v>
      </c>
      <c r="B478" s="147" t="s">
        <v>235</v>
      </c>
      <c r="C478" s="148" t="s">
        <v>133</v>
      </c>
      <c r="D478" s="147" t="s">
        <v>10</v>
      </c>
      <c r="E478" s="147" t="s">
        <v>218</v>
      </c>
      <c r="F478" s="149">
        <v>24.65852988786024</v>
      </c>
      <c r="G478" s="148" t="s">
        <v>219</v>
      </c>
    </row>
    <row r="479" spans="1:7">
      <c r="A479" s="147">
        <v>2019</v>
      </c>
      <c r="B479" s="147" t="s">
        <v>235</v>
      </c>
      <c r="C479" s="148" t="s">
        <v>133</v>
      </c>
      <c r="D479" s="147" t="s">
        <v>10</v>
      </c>
      <c r="E479" s="147" t="s">
        <v>218</v>
      </c>
      <c r="F479" s="149">
        <v>25.241566788677687</v>
      </c>
      <c r="G479" s="148" t="s">
        <v>219</v>
      </c>
    </row>
    <row r="480" spans="1:7">
      <c r="A480" s="147">
        <v>2020</v>
      </c>
      <c r="B480" s="147" t="s">
        <v>235</v>
      </c>
      <c r="C480" s="148" t="s">
        <v>133</v>
      </c>
      <c r="D480" s="147" t="s">
        <v>10</v>
      </c>
      <c r="E480" s="147" t="s">
        <v>218</v>
      </c>
      <c r="F480" s="149">
        <v>21.69748628277442</v>
      </c>
      <c r="G480" s="148" t="s">
        <v>219</v>
      </c>
    </row>
    <row r="481" spans="1:7">
      <c r="A481" s="147">
        <v>2021</v>
      </c>
      <c r="B481" s="147" t="s">
        <v>235</v>
      </c>
      <c r="C481" s="148" t="s">
        <v>133</v>
      </c>
      <c r="D481" s="147" t="s">
        <v>10</v>
      </c>
      <c r="E481" s="147" t="s">
        <v>218</v>
      </c>
      <c r="F481" s="149">
        <v>24.087154027306642</v>
      </c>
      <c r="G481" s="148" t="s">
        <v>219</v>
      </c>
    </row>
    <row r="482" spans="1:7">
      <c r="A482" s="147">
        <v>2022</v>
      </c>
      <c r="B482" s="147" t="s">
        <v>235</v>
      </c>
      <c r="C482" s="148" t="s">
        <v>133</v>
      </c>
      <c r="D482" s="147" t="s">
        <v>10</v>
      </c>
      <c r="E482" s="147" t="s">
        <v>218</v>
      </c>
      <c r="F482" s="149">
        <v>29.695155768323747</v>
      </c>
      <c r="G482" s="148" t="s">
        <v>219</v>
      </c>
    </row>
    <row r="483" spans="1:7">
      <c r="A483" s="147" t="s">
        <v>185</v>
      </c>
      <c r="B483" s="147" t="s">
        <v>235</v>
      </c>
      <c r="C483" s="148" t="s">
        <v>133</v>
      </c>
      <c r="D483" s="147" t="s">
        <v>10</v>
      </c>
      <c r="E483" s="147" t="s">
        <v>218</v>
      </c>
      <c r="F483" s="149">
        <v>33.162496877368739</v>
      </c>
      <c r="G483" s="148" t="s">
        <v>219</v>
      </c>
    </row>
    <row r="484" spans="1:7">
      <c r="A484" s="147" t="s">
        <v>107</v>
      </c>
      <c r="B484" s="147" t="s">
        <v>235</v>
      </c>
      <c r="C484" s="148" t="s">
        <v>133</v>
      </c>
      <c r="D484" s="147" t="s">
        <v>10</v>
      </c>
      <c r="E484" s="147" t="s">
        <v>218</v>
      </c>
      <c r="F484" s="149">
        <v>39.140204875769179</v>
      </c>
      <c r="G484" s="148" t="s">
        <v>219</v>
      </c>
    </row>
    <row r="485" spans="1:7">
      <c r="A485" s="147">
        <v>2018</v>
      </c>
      <c r="B485" s="147" t="s">
        <v>235</v>
      </c>
      <c r="C485" s="148" t="s">
        <v>133</v>
      </c>
      <c r="D485" s="147" t="s">
        <v>59</v>
      </c>
      <c r="E485" s="147" t="s">
        <v>218</v>
      </c>
      <c r="F485" s="149">
        <v>15.177130696431611</v>
      </c>
      <c r="G485" s="148" t="s">
        <v>219</v>
      </c>
    </row>
    <row r="486" spans="1:7">
      <c r="A486" s="147">
        <v>2019</v>
      </c>
      <c r="B486" s="147" t="s">
        <v>235</v>
      </c>
      <c r="C486" s="148" t="s">
        <v>133</v>
      </c>
      <c r="D486" s="147" t="s">
        <v>59</v>
      </c>
      <c r="E486" s="147" t="s">
        <v>218</v>
      </c>
      <c r="F486" s="149">
        <v>19.056016462865855</v>
      </c>
      <c r="G486" s="148" t="s">
        <v>219</v>
      </c>
    </row>
    <row r="487" spans="1:7">
      <c r="A487" s="147">
        <v>2020</v>
      </c>
      <c r="B487" s="147" t="s">
        <v>235</v>
      </c>
      <c r="C487" s="148" t="s">
        <v>133</v>
      </c>
      <c r="D487" s="147" t="s">
        <v>59</v>
      </c>
      <c r="E487" s="147" t="s">
        <v>218</v>
      </c>
      <c r="F487" s="149">
        <v>18.25677329739537</v>
      </c>
      <c r="G487" s="148" t="s">
        <v>219</v>
      </c>
    </row>
    <row r="488" spans="1:7">
      <c r="A488" s="147">
        <v>2021</v>
      </c>
      <c r="B488" s="147" t="s">
        <v>235</v>
      </c>
      <c r="C488" s="148" t="s">
        <v>133</v>
      </c>
      <c r="D488" s="147" t="s">
        <v>59</v>
      </c>
      <c r="E488" s="147" t="s">
        <v>218</v>
      </c>
      <c r="F488" s="149">
        <v>29.426864424856348</v>
      </c>
      <c r="G488" s="148" t="s">
        <v>219</v>
      </c>
    </row>
    <row r="489" spans="1:7">
      <c r="A489" s="147">
        <v>2022</v>
      </c>
      <c r="B489" s="147" t="s">
        <v>235</v>
      </c>
      <c r="C489" s="148" t="s">
        <v>133</v>
      </c>
      <c r="D489" s="147" t="s">
        <v>59</v>
      </c>
      <c r="E489" s="147" t="s">
        <v>218</v>
      </c>
      <c r="F489" s="149">
        <v>20.036692663675126</v>
      </c>
      <c r="G489" s="148" t="s">
        <v>219</v>
      </c>
    </row>
    <row r="490" spans="1:7">
      <c r="A490" s="147" t="s">
        <v>185</v>
      </c>
      <c r="B490" s="147" t="s">
        <v>235</v>
      </c>
      <c r="C490" s="148" t="s">
        <v>133</v>
      </c>
      <c r="D490" s="147" t="s">
        <v>59</v>
      </c>
      <c r="E490" s="147" t="s">
        <v>218</v>
      </c>
      <c r="F490" s="149">
        <v>17.916988345698691</v>
      </c>
      <c r="G490" s="148" t="s">
        <v>219</v>
      </c>
    </row>
    <row r="491" spans="1:7">
      <c r="A491" s="147" t="s">
        <v>107</v>
      </c>
      <c r="B491" s="147" t="s">
        <v>235</v>
      </c>
      <c r="C491" s="148" t="s">
        <v>133</v>
      </c>
      <c r="D491" s="147" t="s">
        <v>59</v>
      </c>
      <c r="E491" s="147" t="s">
        <v>218</v>
      </c>
      <c r="F491" s="149">
        <v>18.615022863441549</v>
      </c>
      <c r="G491" s="148" t="s">
        <v>219</v>
      </c>
    </row>
    <row r="492" spans="1:7">
      <c r="A492" s="147">
        <v>2018</v>
      </c>
      <c r="B492" s="147" t="s">
        <v>235</v>
      </c>
      <c r="C492" s="148" t="s">
        <v>133</v>
      </c>
      <c r="D492" s="147" t="s">
        <v>66</v>
      </c>
      <c r="E492" s="147" t="s">
        <v>218</v>
      </c>
      <c r="F492" s="149">
        <v>11.998329572160795</v>
      </c>
      <c r="G492" s="148" t="s">
        <v>219</v>
      </c>
    </row>
    <row r="493" spans="1:7">
      <c r="A493" s="147">
        <v>2019</v>
      </c>
      <c r="B493" s="147" t="s">
        <v>235</v>
      </c>
      <c r="C493" s="148" t="s">
        <v>133</v>
      </c>
      <c r="D493" s="147" t="s">
        <v>66</v>
      </c>
      <c r="E493" s="147" t="s">
        <v>218</v>
      </c>
      <c r="F493" s="149">
        <v>10.558981228311641</v>
      </c>
      <c r="G493" s="148" t="s">
        <v>219</v>
      </c>
    </row>
    <row r="494" spans="1:7">
      <c r="A494" s="147">
        <v>2020</v>
      </c>
      <c r="B494" s="147" t="s">
        <v>235</v>
      </c>
      <c r="C494" s="148" t="s">
        <v>133</v>
      </c>
      <c r="D494" s="147" t="s">
        <v>66</v>
      </c>
      <c r="E494" s="147" t="s">
        <v>218</v>
      </c>
      <c r="F494" s="149">
        <v>5.5286972472303182</v>
      </c>
      <c r="G494" s="148" t="s">
        <v>219</v>
      </c>
    </row>
    <row r="495" spans="1:7">
      <c r="A495" s="147">
        <v>2021</v>
      </c>
      <c r="B495" s="147" t="s">
        <v>235</v>
      </c>
      <c r="C495" s="148" t="s">
        <v>133</v>
      </c>
      <c r="D495" s="147" t="s">
        <v>66</v>
      </c>
      <c r="E495" s="147" t="s">
        <v>218</v>
      </c>
      <c r="F495" s="149">
        <v>2.2115567045260205</v>
      </c>
      <c r="G495" s="148" t="s">
        <v>219</v>
      </c>
    </row>
    <row r="496" spans="1:7">
      <c r="A496" s="147">
        <v>2022</v>
      </c>
      <c r="B496" s="147" t="s">
        <v>235</v>
      </c>
      <c r="C496" s="148" t="s">
        <v>133</v>
      </c>
      <c r="D496" s="147" t="s">
        <v>66</v>
      </c>
      <c r="E496" s="147" t="s">
        <v>218</v>
      </c>
      <c r="F496" s="149">
        <v>4.9807360771030327</v>
      </c>
      <c r="G496" s="148" t="s">
        <v>219</v>
      </c>
    </row>
    <row r="497" spans="1:7">
      <c r="A497" s="147" t="s">
        <v>185</v>
      </c>
      <c r="B497" s="147" t="s">
        <v>235</v>
      </c>
      <c r="C497" s="148" t="s">
        <v>133</v>
      </c>
      <c r="D497" s="147" t="s">
        <v>66</v>
      </c>
      <c r="E497" s="147" t="s">
        <v>218</v>
      </c>
      <c r="F497" s="149">
        <v>6.0074278485948875</v>
      </c>
      <c r="G497" s="148" t="s">
        <v>219</v>
      </c>
    </row>
    <row r="498" spans="1:7">
      <c r="A498" s="147" t="s">
        <v>107</v>
      </c>
      <c r="B498" s="147" t="s">
        <v>235</v>
      </c>
      <c r="C498" s="148" t="s">
        <v>133</v>
      </c>
      <c r="D498" s="147" t="s">
        <v>66</v>
      </c>
      <c r="E498" s="147" t="s">
        <v>218</v>
      </c>
      <c r="F498" s="149">
        <v>9.0471143388102071</v>
      </c>
      <c r="G498" s="148" t="s">
        <v>219</v>
      </c>
    </row>
    <row r="499" spans="1:7">
      <c r="A499" s="147">
        <v>2018</v>
      </c>
      <c r="B499" s="147" t="s">
        <v>235</v>
      </c>
      <c r="C499" s="148" t="s">
        <v>133</v>
      </c>
      <c r="D499" s="147" t="s">
        <v>61</v>
      </c>
      <c r="E499" s="147" t="s">
        <v>218</v>
      </c>
      <c r="F499" s="149">
        <v>29.809800643643495</v>
      </c>
      <c r="G499" s="148" t="s">
        <v>219</v>
      </c>
    </row>
    <row r="500" spans="1:7">
      <c r="A500" s="147">
        <v>2019</v>
      </c>
      <c r="B500" s="147" t="s">
        <v>235</v>
      </c>
      <c r="C500" s="148" t="s">
        <v>133</v>
      </c>
      <c r="D500" s="147" t="s">
        <v>61</v>
      </c>
      <c r="E500" s="147" t="s">
        <v>218</v>
      </c>
      <c r="F500" s="149">
        <v>45.745204921883726</v>
      </c>
      <c r="G500" s="148" t="s">
        <v>219</v>
      </c>
    </row>
    <row r="501" spans="1:7">
      <c r="A501" s="147">
        <v>2020</v>
      </c>
      <c r="B501" s="147" t="s">
        <v>235</v>
      </c>
      <c r="C501" s="148" t="s">
        <v>133</v>
      </c>
      <c r="D501" s="147" t="s">
        <v>61</v>
      </c>
      <c r="E501" s="147" t="s">
        <v>218</v>
      </c>
      <c r="F501" s="149">
        <v>36.757770576443242</v>
      </c>
      <c r="G501" s="148" t="s">
        <v>219</v>
      </c>
    </row>
    <row r="502" spans="1:7">
      <c r="A502" s="147">
        <v>2021</v>
      </c>
      <c r="B502" s="147" t="s">
        <v>235</v>
      </c>
      <c r="C502" s="148" t="s">
        <v>133</v>
      </c>
      <c r="D502" s="147" t="s">
        <v>61</v>
      </c>
      <c r="E502" s="147" t="s">
        <v>218</v>
      </c>
      <c r="F502" s="149">
        <v>33.004086471493089</v>
      </c>
      <c r="G502" s="148" t="s">
        <v>219</v>
      </c>
    </row>
    <row r="503" spans="1:7">
      <c r="A503" s="147">
        <v>2022</v>
      </c>
      <c r="B503" s="147" t="s">
        <v>235</v>
      </c>
      <c r="C503" s="148" t="s">
        <v>133</v>
      </c>
      <c r="D503" s="147" t="s">
        <v>61</v>
      </c>
      <c r="E503" s="147" t="s">
        <v>218</v>
      </c>
      <c r="F503" s="149">
        <v>32.025710867036963</v>
      </c>
      <c r="G503" s="148" t="s">
        <v>219</v>
      </c>
    </row>
    <row r="504" spans="1:7">
      <c r="A504" s="147" t="s">
        <v>185</v>
      </c>
      <c r="B504" s="147" t="s">
        <v>235</v>
      </c>
      <c r="C504" s="148" t="s">
        <v>133</v>
      </c>
      <c r="D504" s="147" t="s">
        <v>61</v>
      </c>
      <c r="E504" s="147" t="s">
        <v>218</v>
      </c>
      <c r="F504" s="149">
        <v>19.336042136941707</v>
      </c>
      <c r="G504" s="148" t="s">
        <v>219</v>
      </c>
    </row>
    <row r="505" spans="1:7">
      <c r="A505" s="147" t="s">
        <v>107</v>
      </c>
      <c r="B505" s="147" t="s">
        <v>235</v>
      </c>
      <c r="C505" s="148" t="s">
        <v>133</v>
      </c>
      <c r="D505" s="147" t="s">
        <v>61</v>
      </c>
      <c r="E505" s="147" t="s">
        <v>218</v>
      </c>
      <c r="F505" s="149">
        <v>29.09091402476253</v>
      </c>
      <c r="G505" s="148" t="s">
        <v>219</v>
      </c>
    </row>
    <row r="506" spans="1:7">
      <c r="A506" s="147">
        <v>2018</v>
      </c>
      <c r="B506" s="147" t="s">
        <v>236</v>
      </c>
      <c r="C506" s="148" t="s">
        <v>133</v>
      </c>
      <c r="D506" s="147" t="s">
        <v>221</v>
      </c>
      <c r="E506" s="147" t="s">
        <v>218</v>
      </c>
      <c r="F506" s="149">
        <v>680.190000762674</v>
      </c>
      <c r="G506" s="148" t="s">
        <v>219</v>
      </c>
    </row>
    <row r="507" spans="1:7">
      <c r="A507" s="147">
        <v>2019</v>
      </c>
      <c r="B507" s="147" t="s">
        <v>236</v>
      </c>
      <c r="C507" s="148" t="s">
        <v>133</v>
      </c>
      <c r="D507" s="147" t="s">
        <v>221</v>
      </c>
      <c r="E507" s="147" t="s">
        <v>218</v>
      </c>
      <c r="F507" s="149">
        <v>639.77884000171446</v>
      </c>
      <c r="G507" s="148" t="s">
        <v>219</v>
      </c>
    </row>
    <row r="508" spans="1:7">
      <c r="A508" s="147">
        <v>2020</v>
      </c>
      <c r="B508" s="147" t="s">
        <v>236</v>
      </c>
      <c r="C508" s="148" t="s">
        <v>133</v>
      </c>
      <c r="D508" s="147" t="s">
        <v>221</v>
      </c>
      <c r="E508" s="147" t="s">
        <v>218</v>
      </c>
      <c r="F508" s="149">
        <v>710.6679248733011</v>
      </c>
      <c r="G508" s="148" t="s">
        <v>219</v>
      </c>
    </row>
    <row r="509" spans="1:7">
      <c r="A509" s="147">
        <v>2021</v>
      </c>
      <c r="B509" s="147" t="s">
        <v>236</v>
      </c>
      <c r="C509" s="148" t="s">
        <v>133</v>
      </c>
      <c r="D509" s="147" t="s">
        <v>221</v>
      </c>
      <c r="E509" s="147" t="s">
        <v>218</v>
      </c>
      <c r="F509" s="149">
        <v>754.11258040942516</v>
      </c>
      <c r="G509" s="148" t="s">
        <v>219</v>
      </c>
    </row>
    <row r="510" spans="1:7">
      <c r="A510" s="147">
        <v>2022</v>
      </c>
      <c r="B510" s="147" t="s">
        <v>236</v>
      </c>
      <c r="C510" s="148" t="s">
        <v>133</v>
      </c>
      <c r="D510" s="147" t="s">
        <v>221</v>
      </c>
      <c r="E510" s="147" t="s">
        <v>218</v>
      </c>
      <c r="F510" s="149">
        <v>745.66096071458583</v>
      </c>
      <c r="G510" s="148" t="s">
        <v>219</v>
      </c>
    </row>
    <row r="511" spans="1:7">
      <c r="A511" s="147" t="s">
        <v>185</v>
      </c>
      <c r="B511" s="147" t="s">
        <v>236</v>
      </c>
      <c r="C511" s="148" t="s">
        <v>133</v>
      </c>
      <c r="D511" s="147" t="s">
        <v>221</v>
      </c>
      <c r="E511" s="147" t="s">
        <v>218</v>
      </c>
      <c r="F511" s="149">
        <v>871.41766571043945</v>
      </c>
      <c r="G511" s="148" t="s">
        <v>219</v>
      </c>
    </row>
    <row r="512" spans="1:7">
      <c r="A512" s="147" t="s">
        <v>107</v>
      </c>
      <c r="B512" s="147" t="s">
        <v>236</v>
      </c>
      <c r="C512" s="148" t="s">
        <v>133</v>
      </c>
      <c r="D512" s="147" t="s">
        <v>221</v>
      </c>
      <c r="E512" s="147" t="s">
        <v>218</v>
      </c>
      <c r="F512" s="149">
        <v>1098.6758039221299</v>
      </c>
      <c r="G512" s="148" t="s">
        <v>219</v>
      </c>
    </row>
    <row r="513" spans="1:7">
      <c r="A513" s="147">
        <v>2018</v>
      </c>
      <c r="B513" s="147" t="s">
        <v>237</v>
      </c>
      <c r="C513" s="148" t="s">
        <v>133</v>
      </c>
      <c r="D513" s="147" t="s">
        <v>148</v>
      </c>
      <c r="E513" s="147" t="s">
        <v>218</v>
      </c>
      <c r="F513" s="149">
        <v>3703.2697090116358</v>
      </c>
      <c r="G513" s="148" t="s">
        <v>219</v>
      </c>
    </row>
    <row r="514" spans="1:7">
      <c r="A514" s="147">
        <v>2019</v>
      </c>
      <c r="B514" s="147" t="s">
        <v>237</v>
      </c>
      <c r="C514" s="148" t="s">
        <v>133</v>
      </c>
      <c r="D514" s="147" t="s">
        <v>148</v>
      </c>
      <c r="E514" s="147" t="s">
        <v>218</v>
      </c>
      <c r="F514" s="149">
        <v>3922.0977229914452</v>
      </c>
      <c r="G514" s="148" t="s">
        <v>219</v>
      </c>
    </row>
    <row r="515" spans="1:7">
      <c r="A515" s="147">
        <v>2020</v>
      </c>
      <c r="B515" s="147" t="s">
        <v>237</v>
      </c>
      <c r="C515" s="148" t="s">
        <v>133</v>
      </c>
      <c r="D515" s="147" t="s">
        <v>148</v>
      </c>
      <c r="E515" s="147" t="s">
        <v>218</v>
      </c>
      <c r="F515" s="149">
        <v>3465.4108051709559</v>
      </c>
      <c r="G515" s="148" t="s">
        <v>219</v>
      </c>
    </row>
    <row r="516" spans="1:7">
      <c r="A516" s="147">
        <v>2021</v>
      </c>
      <c r="B516" s="147" t="s">
        <v>237</v>
      </c>
      <c r="C516" s="148" t="s">
        <v>133</v>
      </c>
      <c r="D516" s="147" t="s">
        <v>148</v>
      </c>
      <c r="E516" s="147" t="s">
        <v>218</v>
      </c>
      <c r="F516" s="149">
        <v>4186.6529155198923</v>
      </c>
      <c r="G516" s="148" t="s">
        <v>219</v>
      </c>
    </row>
    <row r="517" spans="1:7">
      <c r="A517" s="147">
        <v>2022</v>
      </c>
      <c r="B517" s="147" t="s">
        <v>237</v>
      </c>
      <c r="C517" s="148" t="s">
        <v>133</v>
      </c>
      <c r="D517" s="147" t="s">
        <v>148</v>
      </c>
      <c r="E517" s="147" t="s">
        <v>218</v>
      </c>
      <c r="F517" s="149">
        <v>4356.6519004559414</v>
      </c>
      <c r="G517" s="148" t="s">
        <v>219</v>
      </c>
    </row>
    <row r="518" spans="1:7">
      <c r="A518" s="147" t="s">
        <v>185</v>
      </c>
      <c r="B518" s="147" t="s">
        <v>237</v>
      </c>
      <c r="C518" s="148" t="s">
        <v>133</v>
      </c>
      <c r="D518" s="147" t="s">
        <v>148</v>
      </c>
      <c r="E518" s="147" t="s">
        <v>218</v>
      </c>
      <c r="F518" s="149">
        <v>4591.6488974819822</v>
      </c>
      <c r="G518" s="148" t="s">
        <v>219</v>
      </c>
    </row>
    <row r="519" spans="1:7">
      <c r="A519" s="147" t="s">
        <v>107</v>
      </c>
      <c r="B519" s="147" t="s">
        <v>237</v>
      </c>
      <c r="C519" s="148" t="s">
        <v>133</v>
      </c>
      <c r="D519" s="147" t="s">
        <v>148</v>
      </c>
      <c r="E519" s="147" t="s">
        <v>218</v>
      </c>
      <c r="F519" s="149">
        <v>5461.6846425644471</v>
      </c>
      <c r="G519" s="148" t="s">
        <v>219</v>
      </c>
    </row>
    <row r="520" spans="1:7">
      <c r="A520" s="147">
        <v>2018</v>
      </c>
      <c r="B520" s="147" t="s">
        <v>238</v>
      </c>
      <c r="C520" s="148" t="s">
        <v>133</v>
      </c>
      <c r="D520" s="147" t="s">
        <v>149</v>
      </c>
      <c r="E520" s="147" t="s">
        <v>218</v>
      </c>
      <c r="F520" s="149">
        <v>174.63988703549654</v>
      </c>
      <c r="G520" s="148" t="s">
        <v>219</v>
      </c>
    </row>
    <row r="521" spans="1:7">
      <c r="A521" s="147">
        <v>2019</v>
      </c>
      <c r="B521" s="147" t="s">
        <v>238</v>
      </c>
      <c r="C521" s="148" t="s">
        <v>133</v>
      </c>
      <c r="D521" s="147" t="s">
        <v>149</v>
      </c>
      <c r="E521" s="147" t="s">
        <v>218</v>
      </c>
      <c r="F521" s="149">
        <v>173.73068740553597</v>
      </c>
      <c r="G521" s="148" t="s">
        <v>219</v>
      </c>
    </row>
    <row r="522" spans="1:7">
      <c r="A522" s="147">
        <v>2020</v>
      </c>
      <c r="B522" s="147" t="s">
        <v>238</v>
      </c>
      <c r="C522" s="148" t="s">
        <v>133</v>
      </c>
      <c r="D522" s="147" t="s">
        <v>149</v>
      </c>
      <c r="E522" s="147" t="s">
        <v>218</v>
      </c>
      <c r="F522" s="149">
        <v>114.86309774436334</v>
      </c>
      <c r="G522" s="148" t="s">
        <v>219</v>
      </c>
    </row>
    <row r="523" spans="1:7">
      <c r="A523" s="147">
        <v>2021</v>
      </c>
      <c r="B523" s="147" t="s">
        <v>238</v>
      </c>
      <c r="C523" s="148" t="s">
        <v>133</v>
      </c>
      <c r="D523" s="147" t="s">
        <v>149</v>
      </c>
      <c r="E523" s="147" t="s">
        <v>218</v>
      </c>
      <c r="F523" s="149">
        <v>140.31465340096341</v>
      </c>
      <c r="G523" s="148" t="s">
        <v>219</v>
      </c>
    </row>
    <row r="524" spans="1:7">
      <c r="A524" s="147">
        <v>2022</v>
      </c>
      <c r="B524" s="147" t="s">
        <v>238</v>
      </c>
      <c r="C524" s="148" t="s">
        <v>133</v>
      </c>
      <c r="D524" s="147" t="s">
        <v>149</v>
      </c>
      <c r="E524" s="147" t="s">
        <v>218</v>
      </c>
      <c r="F524" s="149">
        <v>159.58170609027411</v>
      </c>
      <c r="G524" s="148" t="s">
        <v>219</v>
      </c>
    </row>
    <row r="525" spans="1:7">
      <c r="A525" s="147" t="s">
        <v>185</v>
      </c>
      <c r="B525" s="147" t="s">
        <v>238</v>
      </c>
      <c r="C525" s="148" t="s">
        <v>133</v>
      </c>
      <c r="D525" s="147" t="s">
        <v>149</v>
      </c>
      <c r="E525" s="147" t="s">
        <v>218</v>
      </c>
      <c r="F525" s="149">
        <v>168.84955318780288</v>
      </c>
      <c r="G525" s="148" t="s">
        <v>219</v>
      </c>
    </row>
    <row r="526" spans="1:7">
      <c r="A526" s="147" t="s">
        <v>107</v>
      </c>
      <c r="B526" s="147" t="s">
        <v>238</v>
      </c>
      <c r="C526" s="148" t="s">
        <v>133</v>
      </c>
      <c r="D526" s="147" t="s">
        <v>149</v>
      </c>
      <c r="E526" s="147" t="s">
        <v>218</v>
      </c>
      <c r="F526" s="149">
        <v>179.30971567393476</v>
      </c>
      <c r="G526" s="148" t="s">
        <v>219</v>
      </c>
    </row>
    <row r="527" spans="1:7">
      <c r="A527" s="147">
        <v>2018</v>
      </c>
      <c r="B527" s="147" t="s">
        <v>239</v>
      </c>
      <c r="C527" s="148" t="s">
        <v>133</v>
      </c>
      <c r="D527" s="147" t="s">
        <v>136</v>
      </c>
      <c r="E527" s="147" t="s">
        <v>218</v>
      </c>
      <c r="F527" s="149">
        <v>3877.9095960471323</v>
      </c>
      <c r="G527" s="148" t="s">
        <v>219</v>
      </c>
    </row>
    <row r="528" spans="1:7">
      <c r="A528" s="147">
        <v>2019</v>
      </c>
      <c r="B528" s="147" t="s">
        <v>239</v>
      </c>
      <c r="C528" s="148" t="s">
        <v>133</v>
      </c>
      <c r="D528" s="147" t="s">
        <v>136</v>
      </c>
      <c r="E528" s="147" t="s">
        <v>218</v>
      </c>
      <c r="F528" s="149">
        <v>4095.8284103969809</v>
      </c>
      <c r="G528" s="148" t="s">
        <v>219</v>
      </c>
    </row>
    <row r="529" spans="1:7">
      <c r="A529" s="147">
        <v>2020</v>
      </c>
      <c r="B529" s="147" t="s">
        <v>239</v>
      </c>
      <c r="C529" s="148" t="s">
        <v>133</v>
      </c>
      <c r="D529" s="147" t="s">
        <v>136</v>
      </c>
      <c r="E529" s="147" t="s">
        <v>218</v>
      </c>
      <c r="F529" s="149">
        <v>3581.5862875678718</v>
      </c>
      <c r="G529" s="148" t="s">
        <v>219</v>
      </c>
    </row>
    <row r="530" spans="1:7">
      <c r="A530" s="147">
        <v>2021</v>
      </c>
      <c r="B530" s="147" t="s">
        <v>239</v>
      </c>
      <c r="C530" s="148" t="s">
        <v>133</v>
      </c>
      <c r="D530" s="147" t="s">
        <v>136</v>
      </c>
      <c r="E530" s="147" t="s">
        <v>218</v>
      </c>
      <c r="F530" s="149">
        <v>4328.5148184014279</v>
      </c>
      <c r="G530" s="148" t="s">
        <v>219</v>
      </c>
    </row>
    <row r="531" spans="1:7">
      <c r="A531" s="147">
        <v>2022</v>
      </c>
      <c r="B531" s="147" t="s">
        <v>239</v>
      </c>
      <c r="C531" s="148" t="s">
        <v>133</v>
      </c>
      <c r="D531" s="147" t="s">
        <v>136</v>
      </c>
      <c r="E531" s="147" t="s">
        <v>218</v>
      </c>
      <c r="F531" s="149">
        <v>4517.7988276627784</v>
      </c>
      <c r="G531" s="148" t="s">
        <v>219</v>
      </c>
    </row>
    <row r="532" spans="1:7">
      <c r="A532" s="147" t="s">
        <v>185</v>
      </c>
      <c r="B532" s="147" t="s">
        <v>239</v>
      </c>
      <c r="C532" s="148" t="s">
        <v>133</v>
      </c>
      <c r="D532" s="147" t="s">
        <v>136</v>
      </c>
      <c r="E532" s="147" t="s">
        <v>218</v>
      </c>
      <c r="F532" s="149">
        <v>4762.1553127871603</v>
      </c>
      <c r="G532" s="148" t="s">
        <v>219</v>
      </c>
    </row>
    <row r="533" spans="1:7">
      <c r="A533" s="147" t="s">
        <v>107</v>
      </c>
      <c r="B533" s="147" t="s">
        <v>239</v>
      </c>
      <c r="C533" s="148" t="s">
        <v>133</v>
      </c>
      <c r="D533" s="147" t="s">
        <v>136</v>
      </c>
      <c r="E533" s="147" t="s">
        <v>218</v>
      </c>
      <c r="F533" s="149">
        <v>5643.1172489350474</v>
      </c>
      <c r="G533" s="148" t="s">
        <v>219</v>
      </c>
    </row>
    <row r="534" spans="1:7">
      <c r="A534" s="147">
        <v>2018</v>
      </c>
      <c r="B534" s="147" t="s">
        <v>240</v>
      </c>
      <c r="C534" s="148" t="s">
        <v>133</v>
      </c>
      <c r="D534" s="147" t="s">
        <v>0</v>
      </c>
      <c r="E534" s="147" t="s">
        <v>218</v>
      </c>
      <c r="F534" s="149">
        <v>84.483093178376095</v>
      </c>
      <c r="G534" s="148" t="s">
        <v>219</v>
      </c>
    </row>
    <row r="535" spans="1:7">
      <c r="A535" s="147">
        <v>2019</v>
      </c>
      <c r="B535" s="147" t="s">
        <v>240</v>
      </c>
      <c r="C535" s="148" t="s">
        <v>133</v>
      </c>
      <c r="D535" s="147" t="s">
        <v>0</v>
      </c>
      <c r="E535" s="147" t="s">
        <v>218</v>
      </c>
      <c r="F535" s="149">
        <v>93.226917513645489</v>
      </c>
      <c r="G535" s="148" t="s">
        <v>219</v>
      </c>
    </row>
    <row r="536" spans="1:7">
      <c r="A536" s="147">
        <v>2020</v>
      </c>
      <c r="B536" s="147" t="s">
        <v>240</v>
      </c>
      <c r="C536" s="148" t="s">
        <v>133</v>
      </c>
      <c r="D536" s="147" t="s">
        <v>0</v>
      </c>
      <c r="E536" s="147" t="s">
        <v>218</v>
      </c>
      <c r="F536" s="149">
        <v>101.08057416052556</v>
      </c>
      <c r="G536" s="148" t="s">
        <v>219</v>
      </c>
    </row>
    <row r="537" spans="1:7">
      <c r="A537" s="147">
        <v>2021</v>
      </c>
      <c r="B537" s="147" t="s">
        <v>240</v>
      </c>
      <c r="C537" s="148" t="s">
        <v>133</v>
      </c>
      <c r="D537" s="147" t="s">
        <v>0</v>
      </c>
      <c r="E537" s="147" t="s">
        <v>218</v>
      </c>
      <c r="F537" s="149">
        <v>108.20407398189394</v>
      </c>
      <c r="G537" s="148" t="s">
        <v>219</v>
      </c>
    </row>
    <row r="538" spans="1:7">
      <c r="A538" s="147">
        <v>2022</v>
      </c>
      <c r="B538" s="147" t="s">
        <v>240</v>
      </c>
      <c r="C538" s="148" t="s">
        <v>133</v>
      </c>
      <c r="D538" s="147" t="s">
        <v>0</v>
      </c>
      <c r="E538" s="147" t="s">
        <v>218</v>
      </c>
      <c r="F538" s="149">
        <v>107.75547060834542</v>
      </c>
      <c r="G538" s="148" t="s">
        <v>219</v>
      </c>
    </row>
    <row r="539" spans="1:7">
      <c r="A539" s="147" t="s">
        <v>185</v>
      </c>
      <c r="B539" s="147" t="s">
        <v>240</v>
      </c>
      <c r="C539" s="148" t="s">
        <v>133</v>
      </c>
      <c r="D539" s="147" t="s">
        <v>0</v>
      </c>
      <c r="E539" s="147" t="s">
        <v>218</v>
      </c>
      <c r="F539" s="149">
        <v>127.77986793938399</v>
      </c>
      <c r="G539" s="148" t="s">
        <v>219</v>
      </c>
    </row>
    <row r="540" spans="1:7">
      <c r="A540" s="147" t="s">
        <v>107</v>
      </c>
      <c r="B540" s="147" t="s">
        <v>240</v>
      </c>
      <c r="C540" s="148" t="s">
        <v>133</v>
      </c>
      <c r="D540" s="147" t="s">
        <v>0</v>
      </c>
      <c r="E540" s="147" t="s">
        <v>218</v>
      </c>
      <c r="F540" s="149">
        <v>127.29039553122381</v>
      </c>
      <c r="G540" s="148" t="s">
        <v>219</v>
      </c>
    </row>
    <row r="541" spans="1:7">
      <c r="A541" s="147">
        <v>2018</v>
      </c>
      <c r="B541" s="147" t="s">
        <v>240</v>
      </c>
      <c r="C541" s="148" t="s">
        <v>133</v>
      </c>
      <c r="D541" s="147" t="s">
        <v>1</v>
      </c>
      <c r="E541" s="147" t="s">
        <v>218</v>
      </c>
      <c r="F541" s="149">
        <v>0.9608839795837063</v>
      </c>
      <c r="G541" s="148" t="s">
        <v>219</v>
      </c>
    </row>
    <row r="542" spans="1:7">
      <c r="A542" s="147">
        <v>2019</v>
      </c>
      <c r="B542" s="147" t="s">
        <v>240</v>
      </c>
      <c r="C542" s="148" t="s">
        <v>133</v>
      </c>
      <c r="D542" s="147" t="s">
        <v>1</v>
      </c>
      <c r="E542" s="147" t="s">
        <v>218</v>
      </c>
      <c r="F542" s="149">
        <v>1.2065977782413213</v>
      </c>
      <c r="G542" s="148" t="s">
        <v>219</v>
      </c>
    </row>
    <row r="543" spans="1:7">
      <c r="A543" s="147">
        <v>2020</v>
      </c>
      <c r="B543" s="147" t="s">
        <v>240</v>
      </c>
      <c r="C543" s="148" t="s">
        <v>133</v>
      </c>
      <c r="D543" s="147" t="s">
        <v>1</v>
      </c>
      <c r="E543" s="147" t="s">
        <v>218</v>
      </c>
      <c r="F543" s="149">
        <v>0.24131421005049766</v>
      </c>
      <c r="G543" s="148" t="s">
        <v>219</v>
      </c>
    </row>
    <row r="544" spans="1:7">
      <c r="A544" s="147">
        <v>2021</v>
      </c>
      <c r="B544" s="147" t="s">
        <v>240</v>
      </c>
      <c r="C544" s="148" t="s">
        <v>133</v>
      </c>
      <c r="D544" s="147" t="s">
        <v>1</v>
      </c>
      <c r="E544" s="147" t="s">
        <v>218</v>
      </c>
      <c r="F544" s="149">
        <v>0.28825793784489218</v>
      </c>
      <c r="G544" s="148" t="s">
        <v>219</v>
      </c>
    </row>
    <row r="545" spans="1:7">
      <c r="A545" s="147">
        <v>2022</v>
      </c>
      <c r="B545" s="147" t="s">
        <v>240</v>
      </c>
      <c r="C545" s="148" t="s">
        <v>133</v>
      </c>
      <c r="D545" s="147" t="s">
        <v>1</v>
      </c>
      <c r="E545" s="147" t="s">
        <v>218</v>
      </c>
      <c r="F545" s="149">
        <v>0.47064941076220462</v>
      </c>
      <c r="G545" s="148" t="s">
        <v>219</v>
      </c>
    </row>
    <row r="546" spans="1:7">
      <c r="A546" s="147" t="s">
        <v>185</v>
      </c>
      <c r="B546" s="147" t="s">
        <v>240</v>
      </c>
      <c r="C546" s="148" t="s">
        <v>133</v>
      </c>
      <c r="D546" s="147" t="s">
        <v>1</v>
      </c>
      <c r="E546" s="147" t="s">
        <v>218</v>
      </c>
      <c r="F546" s="149">
        <v>1.1040005176919889</v>
      </c>
      <c r="G546" s="148" t="s">
        <v>219</v>
      </c>
    </row>
    <row r="547" spans="1:7">
      <c r="A547" s="147" t="s">
        <v>107</v>
      </c>
      <c r="B547" s="147" t="s">
        <v>240</v>
      </c>
      <c r="C547" s="148" t="s">
        <v>133</v>
      </c>
      <c r="D547" s="147" t="s">
        <v>1</v>
      </c>
      <c r="E547" s="147" t="s">
        <v>218</v>
      </c>
      <c r="F547" s="149">
        <v>1.6920218930338786</v>
      </c>
      <c r="G547" s="148" t="s">
        <v>219</v>
      </c>
    </row>
    <row r="548" spans="1:7">
      <c r="A548" s="147">
        <v>2018</v>
      </c>
      <c r="B548" s="147" t="s">
        <v>240</v>
      </c>
      <c r="C548" s="148" t="s">
        <v>133</v>
      </c>
      <c r="D548" s="147" t="s">
        <v>2</v>
      </c>
      <c r="E548" s="147" t="s">
        <v>218</v>
      </c>
      <c r="F548" s="149">
        <v>0.47792699188139237</v>
      </c>
      <c r="G548" s="148" t="s">
        <v>219</v>
      </c>
    </row>
    <row r="549" spans="1:7">
      <c r="A549" s="147">
        <v>2019</v>
      </c>
      <c r="B549" s="147" t="s">
        <v>240</v>
      </c>
      <c r="C549" s="148" t="s">
        <v>133</v>
      </c>
      <c r="D549" s="147" t="s">
        <v>2</v>
      </c>
      <c r="E549" s="147" t="s">
        <v>218</v>
      </c>
      <c r="F549" s="149">
        <v>0.47078215618503799</v>
      </c>
      <c r="G549" s="148" t="s">
        <v>219</v>
      </c>
    </row>
    <row r="550" spans="1:7">
      <c r="A550" s="147">
        <v>2020</v>
      </c>
      <c r="B550" s="147" t="s">
        <v>240</v>
      </c>
      <c r="C550" s="148" t="s">
        <v>133</v>
      </c>
      <c r="D550" s="147" t="s">
        <v>2</v>
      </c>
      <c r="E550" s="147" t="s">
        <v>218</v>
      </c>
      <c r="F550" s="149">
        <v>0.42698445004994751</v>
      </c>
      <c r="G550" s="148" t="s">
        <v>219</v>
      </c>
    </row>
    <row r="551" spans="1:7">
      <c r="A551" s="147">
        <v>2021</v>
      </c>
      <c r="B551" s="147" t="s">
        <v>240</v>
      </c>
      <c r="C551" s="148" t="s">
        <v>133</v>
      </c>
      <c r="D551" s="147" t="s">
        <v>2</v>
      </c>
      <c r="E551" s="147" t="s">
        <v>218</v>
      </c>
      <c r="F551" s="149">
        <v>0.51015972125659248</v>
      </c>
      <c r="G551" s="148" t="s">
        <v>219</v>
      </c>
    </row>
    <row r="552" spans="1:7">
      <c r="A552" s="147">
        <v>2022</v>
      </c>
      <c r="B552" s="147" t="s">
        <v>240</v>
      </c>
      <c r="C552" s="148" t="s">
        <v>133</v>
      </c>
      <c r="D552" s="147" t="s">
        <v>2</v>
      </c>
      <c r="E552" s="147" t="s">
        <v>218</v>
      </c>
      <c r="F552" s="149">
        <v>0.55539260056532191</v>
      </c>
      <c r="G552" s="148" t="s">
        <v>219</v>
      </c>
    </row>
    <row r="553" spans="1:7">
      <c r="A553" s="147" t="s">
        <v>185</v>
      </c>
      <c r="B553" s="147" t="s">
        <v>240</v>
      </c>
      <c r="C553" s="148" t="s">
        <v>133</v>
      </c>
      <c r="D553" s="147" t="s">
        <v>2</v>
      </c>
      <c r="E553" s="147" t="s">
        <v>218</v>
      </c>
      <c r="F553" s="149">
        <v>0.5292898329312189</v>
      </c>
      <c r="G553" s="148" t="s">
        <v>219</v>
      </c>
    </row>
    <row r="554" spans="1:7">
      <c r="A554" s="147" t="s">
        <v>107</v>
      </c>
      <c r="B554" s="147" t="s">
        <v>240</v>
      </c>
      <c r="C554" s="148" t="s">
        <v>133</v>
      </c>
      <c r="D554" s="147" t="s">
        <v>2</v>
      </c>
      <c r="E554" s="147" t="s">
        <v>218</v>
      </c>
      <c r="F554" s="149">
        <v>0.54714971259666767</v>
      </c>
      <c r="G554" s="148" t="s">
        <v>219</v>
      </c>
    </row>
    <row r="555" spans="1:7">
      <c r="A555" s="147">
        <v>2018</v>
      </c>
      <c r="B555" s="147" t="s">
        <v>240</v>
      </c>
      <c r="C555" s="148" t="s">
        <v>133</v>
      </c>
      <c r="D555" s="147" t="s">
        <v>68</v>
      </c>
      <c r="E555" s="147" t="s">
        <v>218</v>
      </c>
      <c r="F555" s="149">
        <v>1.951416394864862</v>
      </c>
      <c r="G555" s="148" t="s">
        <v>219</v>
      </c>
    </row>
    <row r="556" spans="1:7">
      <c r="A556" s="147">
        <v>2019</v>
      </c>
      <c r="B556" s="147" t="s">
        <v>240</v>
      </c>
      <c r="C556" s="148" t="s">
        <v>133</v>
      </c>
      <c r="D556" s="147" t="s">
        <v>68</v>
      </c>
      <c r="E556" s="147" t="s">
        <v>218</v>
      </c>
      <c r="F556" s="149">
        <v>2.0746442748032932</v>
      </c>
      <c r="G556" s="148" t="s">
        <v>219</v>
      </c>
    </row>
    <row r="557" spans="1:7">
      <c r="A557" s="147">
        <v>2020</v>
      </c>
      <c r="B557" s="147" t="s">
        <v>240</v>
      </c>
      <c r="C557" s="148" t="s">
        <v>133</v>
      </c>
      <c r="D557" s="147" t="s">
        <v>68</v>
      </c>
      <c r="E557" s="147" t="s">
        <v>218</v>
      </c>
      <c r="F557" s="149">
        <v>2.3189805172474198</v>
      </c>
      <c r="G557" s="148" t="s">
        <v>219</v>
      </c>
    </row>
    <row r="558" spans="1:7">
      <c r="A558" s="147">
        <v>2021</v>
      </c>
      <c r="B558" s="147" t="s">
        <v>240</v>
      </c>
      <c r="C558" s="148" t="s">
        <v>133</v>
      </c>
      <c r="D558" s="147" t="s">
        <v>68</v>
      </c>
      <c r="E558" s="147" t="s">
        <v>218</v>
      </c>
      <c r="F558" s="149">
        <v>2.2569038330216329</v>
      </c>
      <c r="G558" s="148" t="s">
        <v>219</v>
      </c>
    </row>
    <row r="559" spans="1:7">
      <c r="A559" s="147">
        <v>2022</v>
      </c>
      <c r="B559" s="147" t="s">
        <v>240</v>
      </c>
      <c r="C559" s="148" t="s">
        <v>133</v>
      </c>
      <c r="D559" s="147" t="s">
        <v>68</v>
      </c>
      <c r="E559" s="147" t="s">
        <v>218</v>
      </c>
      <c r="F559" s="149">
        <v>2.5413153232170949</v>
      </c>
      <c r="G559" s="148" t="s">
        <v>219</v>
      </c>
    </row>
    <row r="560" spans="1:7">
      <c r="A560" s="147" t="s">
        <v>185</v>
      </c>
      <c r="B560" s="147" t="s">
        <v>240</v>
      </c>
      <c r="C560" s="148" t="s">
        <v>133</v>
      </c>
      <c r="D560" s="147" t="s">
        <v>68</v>
      </c>
      <c r="E560" s="147" t="s">
        <v>218</v>
      </c>
      <c r="F560" s="149">
        <v>2.6541602540468192</v>
      </c>
      <c r="G560" s="148" t="s">
        <v>219</v>
      </c>
    </row>
    <row r="561" spans="1:7">
      <c r="A561" s="147" t="s">
        <v>107</v>
      </c>
      <c r="B561" s="147" t="s">
        <v>240</v>
      </c>
      <c r="C561" s="148" t="s">
        <v>133</v>
      </c>
      <c r="D561" s="147" t="s">
        <v>68</v>
      </c>
      <c r="E561" s="147" t="s">
        <v>218</v>
      </c>
      <c r="F561" s="149">
        <v>2.9733571214132302</v>
      </c>
      <c r="G561" s="148" t="s">
        <v>219</v>
      </c>
    </row>
    <row r="562" spans="1:7">
      <c r="A562" s="147">
        <v>2018</v>
      </c>
      <c r="B562" s="147" t="s">
        <v>240</v>
      </c>
      <c r="C562" s="148" t="s">
        <v>133</v>
      </c>
      <c r="D562" s="147" t="s">
        <v>4</v>
      </c>
      <c r="E562" s="147" t="s">
        <v>218</v>
      </c>
      <c r="F562" s="149">
        <v>13.249566368202542</v>
      </c>
      <c r="G562" s="148" t="s">
        <v>219</v>
      </c>
    </row>
    <row r="563" spans="1:7">
      <c r="A563" s="147">
        <v>2019</v>
      </c>
      <c r="B563" s="147" t="s">
        <v>240</v>
      </c>
      <c r="C563" s="148" t="s">
        <v>133</v>
      </c>
      <c r="D563" s="147" t="s">
        <v>4</v>
      </c>
      <c r="E563" s="147" t="s">
        <v>218</v>
      </c>
      <c r="F563" s="149">
        <v>15.284803846901223</v>
      </c>
      <c r="G563" s="148" t="s">
        <v>219</v>
      </c>
    </row>
    <row r="564" spans="1:7">
      <c r="A564" s="147">
        <v>2020</v>
      </c>
      <c r="B564" s="147" t="s">
        <v>240</v>
      </c>
      <c r="C564" s="148" t="s">
        <v>133</v>
      </c>
      <c r="D564" s="147" t="s">
        <v>4</v>
      </c>
      <c r="E564" s="147" t="s">
        <v>218</v>
      </c>
      <c r="F564" s="149">
        <v>3.0944236344975753</v>
      </c>
      <c r="G564" s="148" t="s">
        <v>219</v>
      </c>
    </row>
    <row r="565" spans="1:7">
      <c r="A565" s="147">
        <v>2021</v>
      </c>
      <c r="B565" s="147" t="s">
        <v>240</v>
      </c>
      <c r="C565" s="148" t="s">
        <v>133</v>
      </c>
      <c r="D565" s="147" t="s">
        <v>4</v>
      </c>
      <c r="E565" s="147" t="s">
        <v>218</v>
      </c>
      <c r="F565" s="149">
        <v>3.4843071943871342</v>
      </c>
      <c r="G565" s="148" t="s">
        <v>219</v>
      </c>
    </row>
    <row r="566" spans="1:7">
      <c r="A566" s="147">
        <v>2022</v>
      </c>
      <c r="B566" s="147" t="s">
        <v>240</v>
      </c>
      <c r="C566" s="148" t="s">
        <v>133</v>
      </c>
      <c r="D566" s="147" t="s">
        <v>4</v>
      </c>
      <c r="E566" s="147" t="s">
        <v>218</v>
      </c>
      <c r="F566" s="149">
        <v>5.3540996442506277</v>
      </c>
      <c r="G566" s="148" t="s">
        <v>219</v>
      </c>
    </row>
    <row r="567" spans="1:7">
      <c r="A567" s="147" t="s">
        <v>185</v>
      </c>
      <c r="B567" s="147" t="s">
        <v>240</v>
      </c>
      <c r="C567" s="148" t="s">
        <v>133</v>
      </c>
      <c r="D567" s="147" t="s">
        <v>4</v>
      </c>
      <c r="E567" s="147" t="s">
        <v>218</v>
      </c>
      <c r="F567" s="149">
        <v>12.599200361925371</v>
      </c>
      <c r="G567" s="148" t="s">
        <v>219</v>
      </c>
    </row>
    <row r="568" spans="1:7">
      <c r="A568" s="147" t="s">
        <v>107</v>
      </c>
      <c r="B568" s="147" t="s">
        <v>240</v>
      </c>
      <c r="C568" s="148" t="s">
        <v>133</v>
      </c>
      <c r="D568" s="147" t="s">
        <v>4</v>
      </c>
      <c r="E568" s="147" t="s">
        <v>218</v>
      </c>
      <c r="F568" s="149">
        <v>13.357929184289056</v>
      </c>
      <c r="G568" s="148" t="s">
        <v>219</v>
      </c>
    </row>
    <row r="569" spans="1:7">
      <c r="A569" s="147">
        <v>2018</v>
      </c>
      <c r="B569" s="147" t="s">
        <v>240</v>
      </c>
      <c r="C569" s="148" t="s">
        <v>133</v>
      </c>
      <c r="D569" s="147" t="s">
        <v>5</v>
      </c>
      <c r="E569" s="147" t="s">
        <v>218</v>
      </c>
      <c r="F569" s="149">
        <v>0.66188262059722502</v>
      </c>
      <c r="G569" s="148" t="s">
        <v>219</v>
      </c>
    </row>
    <row r="570" spans="1:7">
      <c r="A570" s="147">
        <v>2019</v>
      </c>
      <c r="B570" s="147" t="s">
        <v>240</v>
      </c>
      <c r="C570" s="148" t="s">
        <v>133</v>
      </c>
      <c r="D570" s="147" t="s">
        <v>5</v>
      </c>
      <c r="E570" s="147" t="s">
        <v>218</v>
      </c>
      <c r="F570" s="149">
        <v>0.74941542971155473</v>
      </c>
      <c r="G570" s="148" t="s">
        <v>219</v>
      </c>
    </row>
    <row r="571" spans="1:7">
      <c r="A571" s="147">
        <v>2020</v>
      </c>
      <c r="B571" s="147" t="s">
        <v>240</v>
      </c>
      <c r="C571" s="148" t="s">
        <v>133</v>
      </c>
      <c r="D571" s="147" t="s">
        <v>5</v>
      </c>
      <c r="E571" s="147" t="s">
        <v>218</v>
      </c>
      <c r="F571" s="149">
        <v>1.1164230775122923</v>
      </c>
      <c r="G571" s="148" t="s">
        <v>219</v>
      </c>
    </row>
    <row r="572" spans="1:7">
      <c r="A572" s="147">
        <v>2021</v>
      </c>
      <c r="B572" s="147" t="s">
        <v>240</v>
      </c>
      <c r="C572" s="148" t="s">
        <v>133</v>
      </c>
      <c r="D572" s="147" t="s">
        <v>5</v>
      </c>
      <c r="E572" s="147" t="s">
        <v>218</v>
      </c>
      <c r="F572" s="149">
        <v>1.5531643251443297</v>
      </c>
      <c r="G572" s="148" t="s">
        <v>219</v>
      </c>
    </row>
    <row r="573" spans="1:7">
      <c r="A573" s="147">
        <v>2022</v>
      </c>
      <c r="B573" s="147" t="s">
        <v>240</v>
      </c>
      <c r="C573" s="148" t="s">
        <v>133</v>
      </c>
      <c r="D573" s="147" t="s">
        <v>5</v>
      </c>
      <c r="E573" s="147" t="s">
        <v>218</v>
      </c>
      <c r="F573" s="149">
        <v>2.0996474948085329</v>
      </c>
      <c r="G573" s="148" t="s">
        <v>219</v>
      </c>
    </row>
    <row r="574" spans="1:7">
      <c r="A574" s="147" t="s">
        <v>185</v>
      </c>
      <c r="B574" s="147" t="s">
        <v>240</v>
      </c>
      <c r="C574" s="148" t="s">
        <v>133</v>
      </c>
      <c r="D574" s="147" t="s">
        <v>5</v>
      </c>
      <c r="E574" s="147" t="s">
        <v>218</v>
      </c>
      <c r="F574" s="149">
        <v>2.0031322849578208</v>
      </c>
      <c r="G574" s="148" t="s">
        <v>219</v>
      </c>
    </row>
    <row r="575" spans="1:7">
      <c r="A575" s="147" t="s">
        <v>107</v>
      </c>
      <c r="B575" s="147" t="s">
        <v>240</v>
      </c>
      <c r="C575" s="148" t="s">
        <v>133</v>
      </c>
      <c r="D575" s="147" t="s">
        <v>5</v>
      </c>
      <c r="E575" s="147" t="s">
        <v>218</v>
      </c>
      <c r="F575" s="149">
        <v>1.848380624627032</v>
      </c>
      <c r="G575" s="148" t="s">
        <v>219</v>
      </c>
    </row>
    <row r="576" spans="1:7">
      <c r="A576" s="147">
        <v>2018</v>
      </c>
      <c r="B576" s="147" t="s">
        <v>240</v>
      </c>
      <c r="C576" s="148" t="s">
        <v>133</v>
      </c>
      <c r="D576" s="147" t="s">
        <v>6</v>
      </c>
      <c r="E576" s="147" t="s">
        <v>218</v>
      </c>
      <c r="F576" s="149">
        <v>2.5304904399351051</v>
      </c>
      <c r="G576" s="148" t="s">
        <v>219</v>
      </c>
    </row>
    <row r="577" spans="1:7">
      <c r="A577" s="147">
        <v>2019</v>
      </c>
      <c r="B577" s="147" t="s">
        <v>240</v>
      </c>
      <c r="C577" s="148" t="s">
        <v>133</v>
      </c>
      <c r="D577" s="147" t="s">
        <v>6</v>
      </c>
      <c r="E577" s="147" t="s">
        <v>218</v>
      </c>
      <c r="F577" s="149">
        <v>3.1200778006024668</v>
      </c>
      <c r="G577" s="148" t="s">
        <v>219</v>
      </c>
    </row>
    <row r="578" spans="1:7">
      <c r="A578" s="147">
        <v>2020</v>
      </c>
      <c r="B578" s="147" t="s">
        <v>240</v>
      </c>
      <c r="C578" s="148" t="s">
        <v>133</v>
      </c>
      <c r="D578" s="147" t="s">
        <v>6</v>
      </c>
      <c r="E578" s="147" t="s">
        <v>218</v>
      </c>
      <c r="F578" s="149">
        <v>1.2330067812077976</v>
      </c>
      <c r="G578" s="148" t="s">
        <v>219</v>
      </c>
    </row>
    <row r="579" spans="1:7">
      <c r="A579" s="147">
        <v>2021</v>
      </c>
      <c r="B579" s="147" t="s">
        <v>240</v>
      </c>
      <c r="C579" s="148" t="s">
        <v>133</v>
      </c>
      <c r="D579" s="147" t="s">
        <v>6</v>
      </c>
      <c r="E579" s="147" t="s">
        <v>218</v>
      </c>
      <c r="F579" s="149">
        <v>0.42540020939696532</v>
      </c>
      <c r="G579" s="148" t="s">
        <v>219</v>
      </c>
    </row>
    <row r="580" spans="1:7">
      <c r="A580" s="147">
        <v>2022</v>
      </c>
      <c r="B580" s="147" t="s">
        <v>240</v>
      </c>
      <c r="C580" s="148" t="s">
        <v>133</v>
      </c>
      <c r="D580" s="147" t="s">
        <v>6</v>
      </c>
      <c r="E580" s="147" t="s">
        <v>218</v>
      </c>
      <c r="F580" s="149">
        <v>0.68637624622806115</v>
      </c>
      <c r="G580" s="148" t="s">
        <v>219</v>
      </c>
    </row>
    <row r="581" spans="1:7">
      <c r="A581" s="147" t="s">
        <v>185</v>
      </c>
      <c r="B581" s="147" t="s">
        <v>240</v>
      </c>
      <c r="C581" s="148" t="s">
        <v>133</v>
      </c>
      <c r="D581" s="147" t="s">
        <v>6</v>
      </c>
      <c r="E581" s="147" t="s">
        <v>218</v>
      </c>
      <c r="F581" s="149">
        <v>0.77390805724921097</v>
      </c>
      <c r="G581" s="148" t="s">
        <v>219</v>
      </c>
    </row>
    <row r="582" spans="1:7">
      <c r="A582" s="147" t="s">
        <v>107</v>
      </c>
      <c r="B582" s="147" t="s">
        <v>240</v>
      </c>
      <c r="C582" s="148" t="s">
        <v>133</v>
      </c>
      <c r="D582" s="147" t="s">
        <v>6</v>
      </c>
      <c r="E582" s="147" t="s">
        <v>218</v>
      </c>
      <c r="F582" s="149">
        <v>1.0951935734837839</v>
      </c>
      <c r="G582" s="148" t="s">
        <v>219</v>
      </c>
    </row>
    <row r="583" spans="1:7">
      <c r="A583" s="147">
        <v>2018</v>
      </c>
      <c r="B583" s="147" t="s">
        <v>240</v>
      </c>
      <c r="C583" s="148" t="s">
        <v>133</v>
      </c>
      <c r="D583" s="147" t="s">
        <v>7</v>
      </c>
      <c r="E583" s="147" t="s">
        <v>218</v>
      </c>
      <c r="F583" s="149">
        <v>0.11059847341127753</v>
      </c>
      <c r="G583" s="148" t="s">
        <v>219</v>
      </c>
    </row>
    <row r="584" spans="1:7">
      <c r="A584" s="147">
        <v>2019</v>
      </c>
      <c r="B584" s="147" t="s">
        <v>240</v>
      </c>
      <c r="C584" s="148" t="s">
        <v>133</v>
      </c>
      <c r="D584" s="147" t="s">
        <v>7</v>
      </c>
      <c r="E584" s="147" t="s">
        <v>218</v>
      </c>
      <c r="F584" s="149">
        <v>0.10413270598198725</v>
      </c>
      <c r="G584" s="148" t="s">
        <v>219</v>
      </c>
    </row>
    <row r="585" spans="1:7">
      <c r="A585" s="147">
        <v>2020</v>
      </c>
      <c r="B585" s="147" t="s">
        <v>240</v>
      </c>
      <c r="C585" s="148" t="s">
        <v>133</v>
      </c>
      <c r="D585" s="147" t="s">
        <v>7</v>
      </c>
      <c r="E585" s="147" t="s">
        <v>218</v>
      </c>
      <c r="F585" s="149">
        <v>3.7661686722778281E-2</v>
      </c>
      <c r="G585" s="148" t="s">
        <v>219</v>
      </c>
    </row>
    <row r="586" spans="1:7">
      <c r="A586" s="147">
        <v>2021</v>
      </c>
      <c r="B586" s="147" t="s">
        <v>240</v>
      </c>
      <c r="C586" s="148" t="s">
        <v>133</v>
      </c>
      <c r="D586" s="147" t="s">
        <v>7</v>
      </c>
      <c r="E586" s="147" t="s">
        <v>218</v>
      </c>
      <c r="F586" s="149">
        <v>4.221294113561283E-2</v>
      </c>
      <c r="G586" s="148" t="s">
        <v>219</v>
      </c>
    </row>
    <row r="587" spans="1:7">
      <c r="A587" s="147">
        <v>2022</v>
      </c>
      <c r="B587" s="147" t="s">
        <v>240</v>
      </c>
      <c r="C587" s="148" t="s">
        <v>133</v>
      </c>
      <c r="D587" s="147" t="s">
        <v>7</v>
      </c>
      <c r="E587" s="147" t="s">
        <v>218</v>
      </c>
      <c r="F587" s="149">
        <v>5.6037725161276954E-2</v>
      </c>
      <c r="G587" s="148" t="s">
        <v>219</v>
      </c>
    </row>
    <row r="588" spans="1:7">
      <c r="A588" s="147" t="s">
        <v>185</v>
      </c>
      <c r="B588" s="147" t="s">
        <v>240</v>
      </c>
      <c r="C588" s="148" t="s">
        <v>133</v>
      </c>
      <c r="D588" s="147" t="s">
        <v>7</v>
      </c>
      <c r="E588" s="147" t="s">
        <v>218</v>
      </c>
      <c r="F588" s="149">
        <v>5.4205615071716888E-2</v>
      </c>
      <c r="G588" s="148" t="s">
        <v>219</v>
      </c>
    </row>
    <row r="589" spans="1:7">
      <c r="A589" s="147" t="s">
        <v>107</v>
      </c>
      <c r="B589" s="147" t="s">
        <v>240</v>
      </c>
      <c r="C589" s="148" t="s">
        <v>133</v>
      </c>
      <c r="D589" s="147" t="s">
        <v>7</v>
      </c>
      <c r="E589" s="147" t="s">
        <v>218</v>
      </c>
      <c r="F589" s="149">
        <v>5.9085409656072251E-2</v>
      </c>
      <c r="G589" s="148" t="s">
        <v>219</v>
      </c>
    </row>
    <row r="590" spans="1:7">
      <c r="A590" s="147">
        <v>2018</v>
      </c>
      <c r="B590" s="147" t="s">
        <v>240</v>
      </c>
      <c r="C590" s="148" t="s">
        <v>133</v>
      </c>
      <c r="D590" s="147" t="s">
        <v>8</v>
      </c>
      <c r="E590" s="147" t="s">
        <v>218</v>
      </c>
      <c r="F590" s="149">
        <v>26.409086303582431</v>
      </c>
      <c r="G590" s="148" t="s">
        <v>219</v>
      </c>
    </row>
    <row r="591" spans="1:7">
      <c r="A591" s="147">
        <v>2019</v>
      </c>
      <c r="B591" s="147" t="s">
        <v>240</v>
      </c>
      <c r="C591" s="148" t="s">
        <v>133</v>
      </c>
      <c r="D591" s="147" t="s">
        <v>8</v>
      </c>
      <c r="E591" s="147" t="s">
        <v>218</v>
      </c>
      <c r="F591" s="149">
        <v>26.4397665200764</v>
      </c>
      <c r="G591" s="148" t="s">
        <v>219</v>
      </c>
    </row>
    <row r="592" spans="1:7">
      <c r="A592" s="147">
        <v>2020</v>
      </c>
      <c r="B592" s="147" t="s">
        <v>240</v>
      </c>
      <c r="C592" s="148" t="s">
        <v>133</v>
      </c>
      <c r="D592" s="147" t="s">
        <v>8</v>
      </c>
      <c r="E592" s="147" t="s">
        <v>218</v>
      </c>
      <c r="F592" s="149">
        <v>26.806182526946952</v>
      </c>
      <c r="G592" s="148" t="s">
        <v>219</v>
      </c>
    </row>
    <row r="593" spans="1:7">
      <c r="A593" s="147">
        <v>2021</v>
      </c>
      <c r="B593" s="147" t="s">
        <v>240</v>
      </c>
      <c r="C593" s="148" t="s">
        <v>133</v>
      </c>
      <c r="D593" s="147" t="s">
        <v>8</v>
      </c>
      <c r="E593" s="147" t="s">
        <v>218</v>
      </c>
      <c r="F593" s="149">
        <v>28.413170005992214</v>
      </c>
      <c r="G593" s="148" t="s">
        <v>219</v>
      </c>
    </row>
    <row r="594" spans="1:7">
      <c r="A594" s="147">
        <v>2022</v>
      </c>
      <c r="B594" s="147" t="s">
        <v>240</v>
      </c>
      <c r="C594" s="148" t="s">
        <v>133</v>
      </c>
      <c r="D594" s="147" t="s">
        <v>8</v>
      </c>
      <c r="E594" s="147" t="s">
        <v>218</v>
      </c>
      <c r="F594" s="149">
        <v>28.097682941187063</v>
      </c>
      <c r="G594" s="148" t="s">
        <v>219</v>
      </c>
    </row>
    <row r="595" spans="1:7">
      <c r="A595" s="147" t="s">
        <v>185</v>
      </c>
      <c r="B595" s="147" t="s">
        <v>240</v>
      </c>
      <c r="C595" s="148" t="s">
        <v>133</v>
      </c>
      <c r="D595" s="147" t="s">
        <v>8</v>
      </c>
      <c r="E595" s="147" t="s">
        <v>218</v>
      </c>
      <c r="F595" s="149">
        <v>30.155714238873188</v>
      </c>
      <c r="G595" s="148" t="s">
        <v>219</v>
      </c>
    </row>
    <row r="596" spans="1:7">
      <c r="A596" s="147" t="s">
        <v>107</v>
      </c>
      <c r="B596" s="147" t="s">
        <v>240</v>
      </c>
      <c r="C596" s="148" t="s">
        <v>133</v>
      </c>
      <c r="D596" s="147" t="s">
        <v>8</v>
      </c>
      <c r="E596" s="147" t="s">
        <v>218</v>
      </c>
      <c r="F596" s="149">
        <v>32.21329564215587</v>
      </c>
      <c r="G596" s="148" t="s">
        <v>219</v>
      </c>
    </row>
    <row r="597" spans="1:7">
      <c r="A597" s="147">
        <v>2018</v>
      </c>
      <c r="B597" s="147" t="s">
        <v>240</v>
      </c>
      <c r="C597" s="148" t="s">
        <v>133</v>
      </c>
      <c r="D597" s="147" t="s">
        <v>9</v>
      </c>
      <c r="E597" s="147" t="s">
        <v>218</v>
      </c>
      <c r="F597" s="149">
        <v>4.638198552185127</v>
      </c>
      <c r="G597" s="148" t="s">
        <v>219</v>
      </c>
    </row>
    <row r="598" spans="1:7">
      <c r="A598" s="147">
        <v>2019</v>
      </c>
      <c r="B598" s="147" t="s">
        <v>240</v>
      </c>
      <c r="C598" s="148" t="s">
        <v>133</v>
      </c>
      <c r="D598" s="147" t="s">
        <v>9</v>
      </c>
      <c r="E598" s="147" t="s">
        <v>218</v>
      </c>
      <c r="F598" s="149">
        <v>5.161500488378147</v>
      </c>
      <c r="G598" s="148" t="s">
        <v>219</v>
      </c>
    </row>
    <row r="599" spans="1:7">
      <c r="A599" s="147">
        <v>2020</v>
      </c>
      <c r="B599" s="147" t="s">
        <v>240</v>
      </c>
      <c r="C599" s="148" t="s">
        <v>133</v>
      </c>
      <c r="D599" s="147" t="s">
        <v>9</v>
      </c>
      <c r="E599" s="147" t="s">
        <v>218</v>
      </c>
      <c r="F599" s="149">
        <v>4.9033159603816765</v>
      </c>
      <c r="G599" s="148" t="s">
        <v>219</v>
      </c>
    </row>
    <row r="600" spans="1:7">
      <c r="A600" s="147">
        <v>2021</v>
      </c>
      <c r="B600" s="147" t="s">
        <v>240</v>
      </c>
      <c r="C600" s="148" t="s">
        <v>133</v>
      </c>
      <c r="D600" s="147" t="s">
        <v>9</v>
      </c>
      <c r="E600" s="147" t="s">
        <v>218</v>
      </c>
      <c r="F600" s="149">
        <v>4.2364967238512854</v>
      </c>
      <c r="G600" s="148" t="s">
        <v>219</v>
      </c>
    </row>
    <row r="601" spans="1:7">
      <c r="A601" s="147">
        <v>2022</v>
      </c>
      <c r="B601" s="147" t="s">
        <v>240</v>
      </c>
      <c r="C601" s="148" t="s">
        <v>133</v>
      </c>
      <c r="D601" s="147" t="s">
        <v>9</v>
      </c>
      <c r="E601" s="147" t="s">
        <v>218</v>
      </c>
      <c r="F601" s="149">
        <v>3.9522109489679154</v>
      </c>
      <c r="G601" s="148" t="s">
        <v>219</v>
      </c>
    </row>
    <row r="602" spans="1:7">
      <c r="A602" s="147" t="s">
        <v>185</v>
      </c>
      <c r="B602" s="147" t="s">
        <v>240</v>
      </c>
      <c r="C602" s="148" t="s">
        <v>133</v>
      </c>
      <c r="D602" s="147" t="s">
        <v>9</v>
      </c>
      <c r="E602" s="147" t="s">
        <v>218</v>
      </c>
      <c r="F602" s="149">
        <v>4.3171298759786829</v>
      </c>
      <c r="G602" s="148" t="s">
        <v>219</v>
      </c>
    </row>
    <row r="603" spans="1:7">
      <c r="A603" s="147" t="s">
        <v>107</v>
      </c>
      <c r="B603" s="147" t="s">
        <v>240</v>
      </c>
      <c r="C603" s="148" t="s">
        <v>133</v>
      </c>
      <c r="D603" s="147" t="s">
        <v>9</v>
      </c>
      <c r="E603" s="147" t="s">
        <v>218</v>
      </c>
      <c r="F603" s="149">
        <v>5.0008656055102172</v>
      </c>
      <c r="G603" s="148" t="s">
        <v>219</v>
      </c>
    </row>
    <row r="604" spans="1:7">
      <c r="A604" s="147">
        <v>2018</v>
      </c>
      <c r="B604" s="147" t="s">
        <v>240</v>
      </c>
      <c r="C604" s="148" t="s">
        <v>133</v>
      </c>
      <c r="D604" s="147" t="s">
        <v>70</v>
      </c>
      <c r="E604" s="147" t="s">
        <v>218</v>
      </c>
      <c r="F604" s="149">
        <v>14.580949620538981</v>
      </c>
      <c r="G604" s="148" t="s">
        <v>219</v>
      </c>
    </row>
    <row r="605" spans="1:7">
      <c r="A605" s="147">
        <v>2019</v>
      </c>
      <c r="B605" s="147" t="s">
        <v>240</v>
      </c>
      <c r="C605" s="148" t="s">
        <v>133</v>
      </c>
      <c r="D605" s="147" t="s">
        <v>70</v>
      </c>
      <c r="E605" s="147" t="s">
        <v>218</v>
      </c>
      <c r="F605" s="149">
        <v>15.404651021336992</v>
      </c>
      <c r="G605" s="148" t="s">
        <v>219</v>
      </c>
    </row>
    <row r="606" spans="1:7">
      <c r="A606" s="147">
        <v>2020</v>
      </c>
      <c r="B606" s="147" t="s">
        <v>240</v>
      </c>
      <c r="C606" s="148" t="s">
        <v>133</v>
      </c>
      <c r="D606" s="147" t="s">
        <v>70</v>
      </c>
      <c r="E606" s="147" t="s">
        <v>218</v>
      </c>
      <c r="F606" s="149">
        <v>14.589403215798489</v>
      </c>
      <c r="G606" s="148" t="s">
        <v>219</v>
      </c>
    </row>
    <row r="607" spans="1:7">
      <c r="A607" s="147">
        <v>2021</v>
      </c>
      <c r="B607" s="147" t="s">
        <v>240</v>
      </c>
      <c r="C607" s="148" t="s">
        <v>133</v>
      </c>
      <c r="D607" s="147" t="s">
        <v>70</v>
      </c>
      <c r="E607" s="147" t="s">
        <v>218</v>
      </c>
      <c r="F607" s="149">
        <v>19.015523890896947</v>
      </c>
      <c r="G607" s="148" t="s">
        <v>219</v>
      </c>
    </row>
    <row r="608" spans="1:7">
      <c r="A608" s="147">
        <v>2022</v>
      </c>
      <c r="B608" s="147" t="s">
        <v>240</v>
      </c>
      <c r="C608" s="148" t="s">
        <v>133</v>
      </c>
      <c r="D608" s="147" t="s">
        <v>70</v>
      </c>
      <c r="E608" s="147" t="s">
        <v>218</v>
      </c>
      <c r="F608" s="149">
        <v>19.955861045588914</v>
      </c>
      <c r="G608" s="148" t="s">
        <v>219</v>
      </c>
    </row>
    <row r="609" spans="1:7">
      <c r="A609" s="147" t="s">
        <v>185</v>
      </c>
      <c r="B609" s="147" t="s">
        <v>240</v>
      </c>
      <c r="C609" s="148" t="s">
        <v>133</v>
      </c>
      <c r="D609" s="147" t="s">
        <v>70</v>
      </c>
      <c r="E609" s="147" t="s">
        <v>218</v>
      </c>
      <c r="F609" s="149">
        <v>24.110161996650476</v>
      </c>
      <c r="G609" s="148" t="s">
        <v>219</v>
      </c>
    </row>
    <row r="610" spans="1:7">
      <c r="A610" s="147" t="s">
        <v>107</v>
      </c>
      <c r="B610" s="147" t="s">
        <v>240</v>
      </c>
      <c r="C610" s="148" t="s">
        <v>133</v>
      </c>
      <c r="D610" s="147" t="s">
        <v>70</v>
      </c>
      <c r="E610" s="147" t="s">
        <v>218</v>
      </c>
      <c r="F610" s="149">
        <v>22.636746610718504</v>
      </c>
      <c r="G610" s="148" t="s">
        <v>219</v>
      </c>
    </row>
    <row r="611" spans="1:7">
      <c r="A611" s="147">
        <v>2018</v>
      </c>
      <c r="B611" s="147" t="s">
        <v>240</v>
      </c>
      <c r="C611" s="148" t="s">
        <v>133</v>
      </c>
      <c r="D611" s="147" t="s">
        <v>10</v>
      </c>
      <c r="E611" s="147" t="s">
        <v>218</v>
      </c>
      <c r="F611" s="149">
        <v>0.52023592167151322</v>
      </c>
      <c r="G611" s="148" t="s">
        <v>219</v>
      </c>
    </row>
    <row r="612" spans="1:7">
      <c r="A612" s="147">
        <v>2019</v>
      </c>
      <c r="B612" s="147" t="s">
        <v>240</v>
      </c>
      <c r="C612" s="148" t="s">
        <v>133</v>
      </c>
      <c r="D612" s="147" t="s">
        <v>10</v>
      </c>
      <c r="E612" s="147" t="s">
        <v>218</v>
      </c>
      <c r="F612" s="149">
        <v>0.54834194128396807</v>
      </c>
      <c r="G612" s="148" t="s">
        <v>219</v>
      </c>
    </row>
    <row r="613" spans="1:7">
      <c r="A613" s="147">
        <v>2020</v>
      </c>
      <c r="B613" s="147" t="s">
        <v>240</v>
      </c>
      <c r="C613" s="148" t="s">
        <v>133</v>
      </c>
      <c r="D613" s="147" t="s">
        <v>10</v>
      </c>
      <c r="E613" s="147" t="s">
        <v>218</v>
      </c>
      <c r="F613" s="149">
        <v>0.65468744012621161</v>
      </c>
      <c r="G613" s="148" t="s">
        <v>219</v>
      </c>
    </row>
    <row r="614" spans="1:7">
      <c r="A614" s="147">
        <v>2021</v>
      </c>
      <c r="B614" s="147" t="s">
        <v>240</v>
      </c>
      <c r="C614" s="148" t="s">
        <v>133</v>
      </c>
      <c r="D614" s="147" t="s">
        <v>10</v>
      </c>
      <c r="E614" s="147" t="s">
        <v>218</v>
      </c>
      <c r="F614" s="149">
        <v>0.56229778000363839</v>
      </c>
      <c r="G614" s="148" t="s">
        <v>219</v>
      </c>
    </row>
    <row r="615" spans="1:7">
      <c r="A615" s="147">
        <v>2022</v>
      </c>
      <c r="B615" s="147" t="s">
        <v>240</v>
      </c>
      <c r="C615" s="148" t="s">
        <v>133</v>
      </c>
      <c r="D615" s="147" t="s">
        <v>10</v>
      </c>
      <c r="E615" s="147" t="s">
        <v>218</v>
      </c>
      <c r="F615" s="149">
        <v>0.58491682456230421</v>
      </c>
      <c r="G615" s="148" t="s">
        <v>219</v>
      </c>
    </row>
    <row r="616" spans="1:7">
      <c r="A616" s="147" t="s">
        <v>185</v>
      </c>
      <c r="B616" s="147" t="s">
        <v>240</v>
      </c>
      <c r="C616" s="148" t="s">
        <v>133</v>
      </c>
      <c r="D616" s="147" t="s">
        <v>10</v>
      </c>
      <c r="E616" s="147" t="s">
        <v>218</v>
      </c>
      <c r="F616" s="149">
        <v>0.65688858866987343</v>
      </c>
      <c r="G616" s="148" t="s">
        <v>219</v>
      </c>
    </row>
    <row r="617" spans="1:7">
      <c r="A617" s="147" t="s">
        <v>107</v>
      </c>
      <c r="B617" s="147" t="s">
        <v>240</v>
      </c>
      <c r="C617" s="148" t="s">
        <v>133</v>
      </c>
      <c r="D617" s="147" t="s">
        <v>10</v>
      </c>
      <c r="E617" s="147" t="s">
        <v>218</v>
      </c>
      <c r="F617" s="149">
        <v>0.73415325795162512</v>
      </c>
      <c r="G617" s="148" t="s">
        <v>219</v>
      </c>
    </row>
    <row r="618" spans="1:7">
      <c r="A618" s="147">
        <v>2018</v>
      </c>
      <c r="B618" s="147" t="s">
        <v>240</v>
      </c>
      <c r="C618" s="148" t="s">
        <v>133</v>
      </c>
      <c r="D618" s="147" t="s">
        <v>59</v>
      </c>
      <c r="E618" s="147" t="s">
        <v>218</v>
      </c>
      <c r="F618" s="149">
        <v>3.1612668764094305E-2</v>
      </c>
      <c r="G618" s="148" t="s">
        <v>219</v>
      </c>
    </row>
    <row r="619" spans="1:7">
      <c r="A619" s="147">
        <v>2019</v>
      </c>
      <c r="B619" s="147" t="s">
        <v>240</v>
      </c>
      <c r="C619" s="148" t="s">
        <v>133</v>
      </c>
      <c r="D619" s="147" t="s">
        <v>59</v>
      </c>
      <c r="E619" s="147" t="s">
        <v>218</v>
      </c>
      <c r="F619" s="149">
        <v>4.9999729711329009E-2</v>
      </c>
      <c r="G619" s="148" t="s">
        <v>219</v>
      </c>
    </row>
    <row r="620" spans="1:7">
      <c r="A620" s="147">
        <v>2020</v>
      </c>
      <c r="B620" s="147" t="s">
        <v>240</v>
      </c>
      <c r="C620" s="148" t="s">
        <v>133</v>
      </c>
      <c r="D620" s="147" t="s">
        <v>59</v>
      </c>
      <c r="E620" s="147" t="s">
        <v>218</v>
      </c>
      <c r="F620" s="149">
        <v>5.2035856936311714E-2</v>
      </c>
      <c r="G620" s="148" t="s">
        <v>219</v>
      </c>
    </row>
    <row r="621" spans="1:7">
      <c r="A621" s="147">
        <v>2021</v>
      </c>
      <c r="B621" s="147" t="s">
        <v>240</v>
      </c>
      <c r="C621" s="148" t="s">
        <v>133</v>
      </c>
      <c r="D621" s="147" t="s">
        <v>59</v>
      </c>
      <c r="E621" s="147" t="s">
        <v>218</v>
      </c>
      <c r="F621" s="149">
        <v>4.9091195131994864E-2</v>
      </c>
      <c r="G621" s="148" t="s">
        <v>219</v>
      </c>
    </row>
    <row r="622" spans="1:7">
      <c r="A622" s="147">
        <v>2022</v>
      </c>
      <c r="B622" s="147" t="s">
        <v>240</v>
      </c>
      <c r="C622" s="148" t="s">
        <v>133</v>
      </c>
      <c r="D622" s="147" t="s">
        <v>59</v>
      </c>
      <c r="E622" s="147" t="s">
        <v>218</v>
      </c>
      <c r="F622" s="149">
        <v>6.3909710879723594E-2</v>
      </c>
      <c r="G622" s="148" t="s">
        <v>219</v>
      </c>
    </row>
    <row r="623" spans="1:7">
      <c r="A623" s="147" t="s">
        <v>185</v>
      </c>
      <c r="B623" s="147" t="s">
        <v>240</v>
      </c>
      <c r="C623" s="148" t="s">
        <v>133</v>
      </c>
      <c r="D623" s="147" t="s">
        <v>59</v>
      </c>
      <c r="E623" s="147" t="s">
        <v>218</v>
      </c>
      <c r="F623" s="149">
        <v>6.8120660050833448E-2</v>
      </c>
      <c r="G623" s="148" t="s">
        <v>219</v>
      </c>
    </row>
    <row r="624" spans="1:7">
      <c r="A624" s="147" t="s">
        <v>107</v>
      </c>
      <c r="B624" s="147" t="s">
        <v>240</v>
      </c>
      <c r="C624" s="148" t="s">
        <v>133</v>
      </c>
      <c r="D624" s="147" t="s">
        <v>59</v>
      </c>
      <c r="E624" s="147" t="s">
        <v>218</v>
      </c>
      <c r="F624" s="149">
        <v>7.0872795835514618E-2</v>
      </c>
      <c r="G624" s="148" t="s">
        <v>219</v>
      </c>
    </row>
    <row r="625" spans="1:7">
      <c r="A625" s="147">
        <v>2018</v>
      </c>
      <c r="B625" s="147" t="s">
        <v>240</v>
      </c>
      <c r="C625" s="148" t="s">
        <v>133</v>
      </c>
      <c r="D625" s="147" t="s">
        <v>66</v>
      </c>
      <c r="E625" s="147" t="s">
        <v>218</v>
      </c>
      <c r="F625" s="149">
        <v>2.818981422828604E-2</v>
      </c>
      <c r="G625" s="148" t="s">
        <v>219</v>
      </c>
    </row>
    <row r="626" spans="1:7">
      <c r="A626" s="147">
        <v>2019</v>
      </c>
      <c r="B626" s="147" t="s">
        <v>240</v>
      </c>
      <c r="C626" s="148" t="s">
        <v>133</v>
      </c>
      <c r="D626" s="147" t="s">
        <v>66</v>
      </c>
      <c r="E626" s="147" t="s">
        <v>218</v>
      </c>
      <c r="F626" s="149">
        <v>2.2448448030631441E-2</v>
      </c>
      <c r="G626" s="148" t="s">
        <v>219</v>
      </c>
    </row>
    <row r="627" spans="1:7">
      <c r="A627" s="147">
        <v>2020</v>
      </c>
      <c r="B627" s="147" t="s">
        <v>240</v>
      </c>
      <c r="C627" s="148" t="s">
        <v>133</v>
      </c>
      <c r="D627" s="147" t="s">
        <v>66</v>
      </c>
      <c r="E627" s="147" t="s">
        <v>218</v>
      </c>
      <c r="F627" s="149">
        <v>1.106668828492176E-2</v>
      </c>
      <c r="G627" s="148" t="s">
        <v>219</v>
      </c>
    </row>
    <row r="628" spans="1:7">
      <c r="A628" s="147">
        <v>2021</v>
      </c>
      <c r="B628" s="147" t="s">
        <v>240</v>
      </c>
      <c r="C628" s="148" t="s">
        <v>133</v>
      </c>
      <c r="D628" s="147" t="s">
        <v>66</v>
      </c>
      <c r="E628" s="147" t="s">
        <v>218</v>
      </c>
      <c r="F628" s="149">
        <v>1.2245718950893332E-2</v>
      </c>
      <c r="G628" s="148" t="s">
        <v>219</v>
      </c>
    </row>
    <row r="629" spans="1:7">
      <c r="A629" s="147">
        <v>2022</v>
      </c>
      <c r="B629" s="147" t="s">
        <v>240</v>
      </c>
      <c r="C629" s="148" t="s">
        <v>133</v>
      </c>
      <c r="D629" s="147" t="s">
        <v>66</v>
      </c>
      <c r="E629" s="147" t="s">
        <v>218</v>
      </c>
      <c r="F629" s="149">
        <v>1.338959747961896E-2</v>
      </c>
      <c r="G629" s="148" t="s">
        <v>219</v>
      </c>
    </row>
    <row r="630" spans="1:7">
      <c r="A630" s="147" t="s">
        <v>185</v>
      </c>
      <c r="B630" s="147" t="s">
        <v>240</v>
      </c>
      <c r="C630" s="148" t="s">
        <v>133</v>
      </c>
      <c r="D630" s="147" t="s">
        <v>66</v>
      </c>
      <c r="E630" s="147" t="s">
        <v>218</v>
      </c>
      <c r="F630" s="149">
        <v>1.6031726086520464E-2</v>
      </c>
      <c r="G630" s="148" t="s">
        <v>219</v>
      </c>
    </row>
    <row r="631" spans="1:7">
      <c r="A631" s="147" t="s">
        <v>107</v>
      </c>
      <c r="B631" s="147" t="s">
        <v>240</v>
      </c>
      <c r="C631" s="148" t="s">
        <v>133</v>
      </c>
      <c r="D631" s="147" t="s">
        <v>66</v>
      </c>
      <c r="E631" s="147" t="s">
        <v>218</v>
      </c>
      <c r="F631" s="149">
        <v>1.7564659604901011E-2</v>
      </c>
      <c r="G631" s="148" t="s">
        <v>219</v>
      </c>
    </row>
    <row r="632" spans="1:7">
      <c r="A632" s="147">
        <v>2018</v>
      </c>
      <c r="B632" s="147" t="s">
        <v>240</v>
      </c>
      <c r="C632" s="148" t="s">
        <v>133</v>
      </c>
      <c r="D632" s="147" t="s">
        <v>61</v>
      </c>
      <c r="E632" s="147" t="s">
        <v>218</v>
      </c>
      <c r="F632" s="149">
        <v>1.5142279287550677</v>
      </c>
      <c r="G632" s="148" t="s">
        <v>219</v>
      </c>
    </row>
    <row r="633" spans="1:7">
      <c r="A633" s="147">
        <v>2019</v>
      </c>
      <c r="B633" s="147" t="s">
        <v>240</v>
      </c>
      <c r="C633" s="148" t="s">
        <v>133</v>
      </c>
      <c r="D633" s="147" t="s">
        <v>61</v>
      </c>
      <c r="E633" s="147" t="s">
        <v>218</v>
      </c>
      <c r="F633" s="149">
        <v>1.7602274415392107</v>
      </c>
      <c r="G633" s="148" t="s">
        <v>219</v>
      </c>
    </row>
    <row r="634" spans="1:7">
      <c r="A634" s="147">
        <v>2020</v>
      </c>
      <c r="B634" s="147" t="s">
        <v>240</v>
      </c>
      <c r="C634" s="148" t="s">
        <v>133</v>
      </c>
      <c r="D634" s="147" t="s">
        <v>61</v>
      </c>
      <c r="E634" s="147" t="s">
        <v>218</v>
      </c>
      <c r="F634" s="149">
        <v>1.4144004069704286</v>
      </c>
      <c r="G634" s="148" t="s">
        <v>219</v>
      </c>
    </row>
    <row r="635" spans="1:7">
      <c r="A635" s="147">
        <v>2021</v>
      </c>
      <c r="B635" s="147" t="s">
        <v>240</v>
      </c>
      <c r="C635" s="148" t="s">
        <v>133</v>
      </c>
      <c r="D635" s="147" t="s">
        <v>61</v>
      </c>
      <c r="E635" s="147" t="s">
        <v>218</v>
      </c>
      <c r="F635" s="149">
        <v>2.4957260622348123</v>
      </c>
      <c r="G635" s="148" t="s">
        <v>219</v>
      </c>
    </row>
    <row r="636" spans="1:7">
      <c r="A636" s="147">
        <v>2022</v>
      </c>
      <c r="B636" s="147" t="s">
        <v>240</v>
      </c>
      <c r="C636" s="148" t="s">
        <v>133</v>
      </c>
      <c r="D636" s="147" t="s">
        <v>61</v>
      </c>
      <c r="E636" s="147" t="s">
        <v>218</v>
      </c>
      <c r="F636" s="149">
        <v>1.5869276267290624</v>
      </c>
      <c r="G636" s="148" t="s">
        <v>219</v>
      </c>
    </row>
    <row r="637" spans="1:7">
      <c r="A637" s="147" t="s">
        <v>185</v>
      </c>
      <c r="B637" s="147" t="s">
        <v>240</v>
      </c>
      <c r="C637" s="148" t="s">
        <v>133</v>
      </c>
      <c r="D637" s="147" t="s">
        <v>61</v>
      </c>
      <c r="E637" s="147" t="s">
        <v>218</v>
      </c>
      <c r="F637" s="149">
        <v>1.6077449213284134</v>
      </c>
      <c r="G637" s="148" t="s">
        <v>219</v>
      </c>
    </row>
    <row r="638" spans="1:7">
      <c r="A638" s="147" t="s">
        <v>107</v>
      </c>
      <c r="B638" s="147" t="s">
        <v>240</v>
      </c>
      <c r="C638" s="148" t="s">
        <v>133</v>
      </c>
      <c r="D638" s="147" t="s">
        <v>61</v>
      </c>
      <c r="E638" s="147" t="s">
        <v>218</v>
      </c>
      <c r="F638" s="149">
        <v>1.2267617722110733</v>
      </c>
      <c r="G638" s="148" t="s">
        <v>219</v>
      </c>
    </row>
    <row r="639" spans="1:7">
      <c r="A639" s="147">
        <v>2018</v>
      </c>
      <c r="B639" s="147" t="s">
        <v>241</v>
      </c>
      <c r="C639" s="148" t="s">
        <v>133</v>
      </c>
      <c r="D639" s="147" t="s">
        <v>221</v>
      </c>
      <c r="E639" s="147" t="s">
        <v>218</v>
      </c>
      <c r="F639" s="149">
        <v>80.538183138377491</v>
      </c>
      <c r="G639" s="148" t="s">
        <v>219</v>
      </c>
    </row>
    <row r="640" spans="1:7">
      <c r="A640" s="147">
        <v>2019</v>
      </c>
      <c r="B640" s="147" t="s">
        <v>241</v>
      </c>
      <c r="C640" s="148" t="s">
        <v>133</v>
      </c>
      <c r="D640" s="147" t="s">
        <v>221</v>
      </c>
      <c r="E640" s="147" t="s">
        <v>218</v>
      </c>
      <c r="F640" s="149">
        <v>77.150134988679881</v>
      </c>
      <c r="G640" s="148" t="s">
        <v>219</v>
      </c>
    </row>
    <row r="641" spans="1:7">
      <c r="A641" s="147">
        <v>2020</v>
      </c>
      <c r="B641" s="147" t="s">
        <v>241</v>
      </c>
      <c r="C641" s="148" t="s">
        <v>133</v>
      </c>
      <c r="D641" s="147" t="s">
        <v>221</v>
      </c>
      <c r="E641" s="147" t="s">
        <v>218</v>
      </c>
      <c r="F641" s="149">
        <v>86.628226143783849</v>
      </c>
      <c r="G641" s="148" t="s">
        <v>219</v>
      </c>
    </row>
    <row r="642" spans="1:7">
      <c r="A642" s="147">
        <v>2021</v>
      </c>
      <c r="B642" s="147" t="s">
        <v>241</v>
      </c>
      <c r="C642" s="148" t="s">
        <v>133</v>
      </c>
      <c r="D642" s="147" t="s">
        <v>221</v>
      </c>
      <c r="E642" s="147" t="s">
        <v>218</v>
      </c>
      <c r="F642" s="149">
        <v>92.89154493315425</v>
      </c>
      <c r="G642" s="148" t="s">
        <v>219</v>
      </c>
    </row>
    <row r="643" spans="1:7">
      <c r="A643" s="147">
        <v>2022</v>
      </c>
      <c r="B643" s="147" t="s">
        <v>241</v>
      </c>
      <c r="C643" s="148" t="s">
        <v>133</v>
      </c>
      <c r="D643" s="147" t="s">
        <v>221</v>
      </c>
      <c r="E643" s="147" t="s">
        <v>218</v>
      </c>
      <c r="F643" s="149">
        <v>92.780928889983912</v>
      </c>
      <c r="G643" s="148" t="s">
        <v>219</v>
      </c>
    </row>
    <row r="644" spans="1:7">
      <c r="A644" s="147" t="s">
        <v>185</v>
      </c>
      <c r="B644" s="147" t="s">
        <v>241</v>
      </c>
      <c r="C644" s="148" t="s">
        <v>133</v>
      </c>
      <c r="D644" s="147" t="s">
        <v>221</v>
      </c>
      <c r="E644" s="147" t="s">
        <v>218</v>
      </c>
      <c r="F644" s="149">
        <v>103.26854317755635</v>
      </c>
      <c r="G644" s="148" t="s">
        <v>219</v>
      </c>
    </row>
    <row r="645" spans="1:7">
      <c r="A645" s="147" t="s">
        <v>107</v>
      </c>
      <c r="B645" s="147" t="s">
        <v>241</v>
      </c>
      <c r="C645" s="148" t="s">
        <v>133</v>
      </c>
      <c r="D645" s="147" t="s">
        <v>221</v>
      </c>
      <c r="E645" s="147" t="s">
        <v>218</v>
      </c>
      <c r="F645" s="149">
        <v>106.58832392287212</v>
      </c>
      <c r="G645" s="148" t="s">
        <v>219</v>
      </c>
    </row>
    <row r="646" spans="1:7">
      <c r="A646" s="147">
        <v>2018</v>
      </c>
      <c r="B646" s="147" t="s">
        <v>242</v>
      </c>
      <c r="C646" s="148" t="s">
        <v>133</v>
      </c>
      <c r="D646" s="147" t="s">
        <v>148</v>
      </c>
      <c r="E646" s="147" t="s">
        <v>218</v>
      </c>
      <c r="F646" s="149">
        <v>232.68654239495518</v>
      </c>
      <c r="G646" s="148" t="s">
        <v>219</v>
      </c>
    </row>
    <row r="647" spans="1:7">
      <c r="A647" s="147">
        <v>2019</v>
      </c>
      <c r="B647" s="147" t="s">
        <v>242</v>
      </c>
      <c r="C647" s="148" t="s">
        <v>133</v>
      </c>
      <c r="D647" s="147" t="s">
        <v>148</v>
      </c>
      <c r="E647" s="147" t="s">
        <v>218</v>
      </c>
      <c r="F647" s="149">
        <v>242.77444208510894</v>
      </c>
      <c r="G647" s="148" t="s">
        <v>219</v>
      </c>
    </row>
    <row r="648" spans="1:7">
      <c r="A648" s="147">
        <v>2020</v>
      </c>
      <c r="B648" s="147" t="s">
        <v>242</v>
      </c>
      <c r="C648" s="148" t="s">
        <v>133</v>
      </c>
      <c r="D648" s="147" t="s">
        <v>148</v>
      </c>
      <c r="E648" s="147" t="s">
        <v>218</v>
      </c>
      <c r="F648" s="149">
        <v>244.17916044032683</v>
      </c>
      <c r="G648" s="148" t="s">
        <v>219</v>
      </c>
    </row>
    <row r="649" spans="1:7">
      <c r="A649" s="147">
        <v>2021</v>
      </c>
      <c r="B649" s="147" t="s">
        <v>242</v>
      </c>
      <c r="C649" s="148" t="s">
        <v>133</v>
      </c>
      <c r="D649" s="147" t="s">
        <v>148</v>
      </c>
      <c r="E649" s="147" t="s">
        <v>218</v>
      </c>
      <c r="F649" s="149">
        <v>264.01382511020279</v>
      </c>
      <c r="G649" s="148" t="s">
        <v>219</v>
      </c>
    </row>
    <row r="650" spans="1:7">
      <c r="A650" s="147">
        <v>2022</v>
      </c>
      <c r="B650" s="147" t="s">
        <v>242</v>
      </c>
      <c r="C650" s="148" t="s">
        <v>133</v>
      </c>
      <c r="D650" s="147" t="s">
        <v>148</v>
      </c>
      <c r="E650" s="147" t="s">
        <v>218</v>
      </c>
      <c r="F650" s="149">
        <v>266.33733431174261</v>
      </c>
      <c r="G650" s="148" t="s">
        <v>219</v>
      </c>
    </row>
    <row r="651" spans="1:7">
      <c r="A651" s="147" t="s">
        <v>185</v>
      </c>
      <c r="B651" s="147" t="s">
        <v>242</v>
      </c>
      <c r="C651" s="148" t="s">
        <v>133</v>
      </c>
      <c r="D651" s="147" t="s">
        <v>148</v>
      </c>
      <c r="E651" s="147" t="s">
        <v>218</v>
      </c>
      <c r="F651" s="149">
        <v>312.09047898896176</v>
      </c>
      <c r="G651" s="148" t="s">
        <v>219</v>
      </c>
    </row>
    <row r="652" spans="1:7">
      <c r="A652" s="147" t="s">
        <v>107</v>
      </c>
      <c r="B652" s="147" t="s">
        <v>242</v>
      </c>
      <c r="C652" s="148" t="s">
        <v>133</v>
      </c>
      <c r="D652" s="147" t="s">
        <v>148</v>
      </c>
      <c r="E652" s="147" t="s">
        <v>218</v>
      </c>
      <c r="F652" s="149">
        <v>318.30196011899284</v>
      </c>
      <c r="G652" s="148" t="s">
        <v>219</v>
      </c>
    </row>
    <row r="653" spans="1:7">
      <c r="A653" s="147">
        <v>2018</v>
      </c>
      <c r="B653" s="147" t="s">
        <v>243</v>
      </c>
      <c r="C653" s="148" t="s">
        <v>133</v>
      </c>
      <c r="D653" s="147" t="s">
        <v>149</v>
      </c>
      <c r="E653" s="147" t="s">
        <v>218</v>
      </c>
      <c r="F653" s="149">
        <v>6.7565644956417277</v>
      </c>
      <c r="G653" s="148" t="s">
        <v>219</v>
      </c>
    </row>
    <row r="654" spans="1:7">
      <c r="A654" s="147">
        <v>2019</v>
      </c>
      <c r="B654" s="147" t="s">
        <v>243</v>
      </c>
      <c r="C654" s="148" t="s">
        <v>133</v>
      </c>
      <c r="D654" s="147" t="s">
        <v>149</v>
      </c>
      <c r="E654" s="147" t="s">
        <v>218</v>
      </c>
      <c r="F654" s="149">
        <v>6.6306837685591153</v>
      </c>
      <c r="G654" s="148" t="s">
        <v>219</v>
      </c>
    </row>
    <row r="655" spans="1:7">
      <c r="A655" s="147">
        <v>2020</v>
      </c>
      <c r="B655" s="147" t="s">
        <v>243</v>
      </c>
      <c r="C655" s="148" t="s">
        <v>133</v>
      </c>
      <c r="D655" s="147" t="s">
        <v>149</v>
      </c>
      <c r="E655" s="147" t="s">
        <v>218</v>
      </c>
      <c r="F655" s="149">
        <v>4.5164671561381091</v>
      </c>
      <c r="G655" s="148" t="s">
        <v>219</v>
      </c>
    </row>
    <row r="656" spans="1:7">
      <c r="A656" s="147">
        <v>2021</v>
      </c>
      <c r="B656" s="147" t="s">
        <v>243</v>
      </c>
      <c r="C656" s="148" t="s">
        <v>133</v>
      </c>
      <c r="D656" s="147" t="s">
        <v>149</v>
      </c>
      <c r="E656" s="147" t="s">
        <v>218</v>
      </c>
      <c r="F656" s="149">
        <v>5.3763366994642237</v>
      </c>
      <c r="G656" s="148" t="s">
        <v>219</v>
      </c>
    </row>
    <row r="657" spans="1:7">
      <c r="A657" s="147">
        <v>2022</v>
      </c>
      <c r="B657" s="147" t="s">
        <v>243</v>
      </c>
      <c r="C657" s="148" t="s">
        <v>133</v>
      </c>
      <c r="D657" s="147" t="s">
        <v>149</v>
      </c>
      <c r="E657" s="147" t="s">
        <v>218</v>
      </c>
      <c r="F657" s="149">
        <v>6.0686680780140616</v>
      </c>
      <c r="G657" s="148" t="s">
        <v>219</v>
      </c>
    </row>
    <row r="658" spans="1:7">
      <c r="A658" s="147" t="s">
        <v>185</v>
      </c>
      <c r="B658" s="147" t="s">
        <v>243</v>
      </c>
      <c r="C658" s="148" t="s">
        <v>133</v>
      </c>
      <c r="D658" s="147" t="s">
        <v>149</v>
      </c>
      <c r="E658" s="147" t="s">
        <v>218</v>
      </c>
      <c r="F658" s="149">
        <v>6.511965963734391</v>
      </c>
      <c r="G658" s="148" t="s">
        <v>219</v>
      </c>
    </row>
    <row r="659" spans="1:7">
      <c r="A659" s="147" t="s">
        <v>107</v>
      </c>
      <c r="B659" s="147" t="s">
        <v>243</v>
      </c>
      <c r="C659" s="148" t="s">
        <v>133</v>
      </c>
      <c r="D659" s="147" t="s">
        <v>149</v>
      </c>
      <c r="E659" s="147" t="s">
        <v>218</v>
      </c>
      <c r="F659" s="149">
        <v>6.7172320516225144</v>
      </c>
      <c r="G659" s="148" t="s">
        <v>219</v>
      </c>
    </row>
    <row r="660" spans="1:7">
      <c r="A660" s="147">
        <v>2018</v>
      </c>
      <c r="B660" s="147" t="s">
        <v>244</v>
      </c>
      <c r="C660" s="148" t="s">
        <v>133</v>
      </c>
      <c r="D660" s="147" t="s">
        <v>136</v>
      </c>
      <c r="E660" s="147" t="s">
        <v>218</v>
      </c>
      <c r="F660" s="149">
        <v>239.44310689059691</v>
      </c>
      <c r="G660" s="148" t="s">
        <v>219</v>
      </c>
    </row>
    <row r="661" spans="1:7">
      <c r="A661" s="147">
        <v>2019</v>
      </c>
      <c r="B661" s="147" t="s">
        <v>244</v>
      </c>
      <c r="C661" s="148" t="s">
        <v>133</v>
      </c>
      <c r="D661" s="147" t="s">
        <v>136</v>
      </c>
      <c r="E661" s="147" t="s">
        <v>218</v>
      </c>
      <c r="F661" s="149">
        <v>249.4051258536681</v>
      </c>
      <c r="G661" s="148" t="s">
        <v>219</v>
      </c>
    </row>
    <row r="662" spans="1:7">
      <c r="A662" s="147">
        <v>2020</v>
      </c>
      <c r="B662" s="147" t="s">
        <v>244</v>
      </c>
      <c r="C662" s="148" t="s">
        <v>133</v>
      </c>
      <c r="D662" s="147" t="s">
        <v>136</v>
      </c>
      <c r="E662" s="147" t="s">
        <v>218</v>
      </c>
      <c r="F662" s="149">
        <v>248.74890002859851</v>
      </c>
      <c r="G662" s="148" t="s">
        <v>219</v>
      </c>
    </row>
    <row r="663" spans="1:7">
      <c r="A663" s="147">
        <v>2021</v>
      </c>
      <c r="B663" s="147" t="s">
        <v>244</v>
      </c>
      <c r="C663" s="148" t="s">
        <v>133</v>
      </c>
      <c r="D663" s="147" t="s">
        <v>136</v>
      </c>
      <c r="E663" s="147" t="s">
        <v>218</v>
      </c>
      <c r="F663" s="149">
        <v>269.45587171129893</v>
      </c>
      <c r="G663" s="148" t="s">
        <v>219</v>
      </c>
    </row>
    <row r="664" spans="1:7">
      <c r="A664" s="147">
        <v>2022</v>
      </c>
      <c r="B664" s="147" t="s">
        <v>244</v>
      </c>
      <c r="C664" s="148" t="s">
        <v>133</v>
      </c>
      <c r="D664" s="147" t="s">
        <v>136</v>
      </c>
      <c r="E664" s="147" t="s">
        <v>218</v>
      </c>
      <c r="F664" s="149">
        <v>272.4979357393604</v>
      </c>
      <c r="G664" s="148" t="s">
        <v>219</v>
      </c>
    </row>
    <row r="665" spans="1:7">
      <c r="A665" s="147" t="s">
        <v>185</v>
      </c>
      <c r="B665" s="147" t="s">
        <v>244</v>
      </c>
      <c r="C665" s="148" t="s">
        <v>133</v>
      </c>
      <c r="D665" s="147" t="s">
        <v>136</v>
      </c>
      <c r="E665" s="147" t="s">
        <v>218</v>
      </c>
      <c r="F665" s="149">
        <v>318.68725510509177</v>
      </c>
      <c r="G665" s="148" t="s">
        <v>219</v>
      </c>
    </row>
    <row r="666" spans="1:7">
      <c r="A666" s="147" t="s">
        <v>107</v>
      </c>
      <c r="B666" s="147" t="s">
        <v>244</v>
      </c>
      <c r="C666" s="148" t="s">
        <v>133</v>
      </c>
      <c r="D666" s="147" t="s">
        <v>136</v>
      </c>
      <c r="E666" s="147" t="s">
        <v>218</v>
      </c>
      <c r="F666" s="149">
        <v>325.10434832740174</v>
      </c>
      <c r="G666" s="148" t="s">
        <v>219</v>
      </c>
    </row>
    <row r="667" spans="1:7">
      <c r="A667" s="147">
        <v>2018</v>
      </c>
      <c r="B667" s="147" t="s">
        <v>245</v>
      </c>
      <c r="C667" s="148" t="s">
        <v>133</v>
      </c>
      <c r="D667" s="147" t="s">
        <v>0</v>
      </c>
      <c r="E667" s="147" t="s">
        <v>218</v>
      </c>
      <c r="F667" s="149">
        <v>78.008524649129001</v>
      </c>
      <c r="G667" s="148" t="s">
        <v>219</v>
      </c>
    </row>
    <row r="668" spans="1:7">
      <c r="A668" s="147">
        <v>2019</v>
      </c>
      <c r="B668" s="147" t="s">
        <v>245</v>
      </c>
      <c r="C668" s="148" t="s">
        <v>133</v>
      </c>
      <c r="D668" s="147" t="s">
        <v>0</v>
      </c>
      <c r="E668" s="147" t="s">
        <v>218</v>
      </c>
      <c r="F668" s="149">
        <v>78.121252711819977</v>
      </c>
      <c r="G668" s="148" t="s">
        <v>219</v>
      </c>
    </row>
    <row r="669" spans="1:7">
      <c r="A669" s="147">
        <v>2020</v>
      </c>
      <c r="B669" s="147" t="s">
        <v>245</v>
      </c>
      <c r="C669" s="148" t="s">
        <v>133</v>
      </c>
      <c r="D669" s="147" t="s">
        <v>0</v>
      </c>
      <c r="E669" s="147" t="s">
        <v>218</v>
      </c>
      <c r="F669" s="149">
        <v>88.767883795928697</v>
      </c>
      <c r="G669" s="148" t="s">
        <v>219</v>
      </c>
    </row>
    <row r="670" spans="1:7">
      <c r="A670" s="147">
        <v>2021</v>
      </c>
      <c r="B670" s="147" t="s">
        <v>245</v>
      </c>
      <c r="C670" s="148" t="s">
        <v>133</v>
      </c>
      <c r="D670" s="147" t="s">
        <v>0</v>
      </c>
      <c r="E670" s="147" t="s">
        <v>218</v>
      </c>
      <c r="F670" s="149">
        <v>92.045933929979242</v>
      </c>
      <c r="G670" s="148" t="s">
        <v>219</v>
      </c>
    </row>
    <row r="671" spans="1:7">
      <c r="A671" s="147">
        <v>2022</v>
      </c>
      <c r="B671" s="147" t="s">
        <v>245</v>
      </c>
      <c r="C671" s="148" t="s">
        <v>133</v>
      </c>
      <c r="D671" s="147" t="s">
        <v>0</v>
      </c>
      <c r="E671" s="147" t="s">
        <v>218</v>
      </c>
      <c r="F671" s="149">
        <v>130.71549329204814</v>
      </c>
      <c r="G671" s="148" t="s">
        <v>219</v>
      </c>
    </row>
    <row r="672" spans="1:7">
      <c r="A672" s="147" t="s">
        <v>185</v>
      </c>
      <c r="B672" s="147" t="s">
        <v>245</v>
      </c>
      <c r="C672" s="148" t="s">
        <v>133</v>
      </c>
      <c r="D672" s="147" t="s">
        <v>0</v>
      </c>
      <c r="E672" s="147" t="s">
        <v>218</v>
      </c>
      <c r="F672" s="149">
        <v>129.60366630630392</v>
      </c>
      <c r="G672" s="148" t="s">
        <v>219</v>
      </c>
    </row>
    <row r="673" spans="1:7">
      <c r="A673" s="147" t="s">
        <v>107</v>
      </c>
      <c r="B673" s="147" t="s">
        <v>245</v>
      </c>
      <c r="C673" s="148" t="s">
        <v>133</v>
      </c>
      <c r="D673" s="147" t="s">
        <v>0</v>
      </c>
      <c r="E673" s="147" t="s">
        <v>218</v>
      </c>
      <c r="F673" s="149">
        <v>173.45451543853775</v>
      </c>
      <c r="G673" s="148" t="s">
        <v>219</v>
      </c>
    </row>
    <row r="674" spans="1:7">
      <c r="A674" s="147">
        <v>2018</v>
      </c>
      <c r="B674" s="147" t="s">
        <v>245</v>
      </c>
      <c r="C674" s="148" t="s">
        <v>133</v>
      </c>
      <c r="D674" s="147" t="s">
        <v>1</v>
      </c>
      <c r="E674" s="147" t="s">
        <v>218</v>
      </c>
      <c r="F674" s="149">
        <v>8.8146158602672564</v>
      </c>
      <c r="G674" s="148" t="s">
        <v>219</v>
      </c>
    </row>
    <row r="675" spans="1:7">
      <c r="A675" s="147">
        <v>2019</v>
      </c>
      <c r="B675" s="147" t="s">
        <v>245</v>
      </c>
      <c r="C675" s="148" t="s">
        <v>133</v>
      </c>
      <c r="D675" s="147" t="s">
        <v>1</v>
      </c>
      <c r="E675" s="147" t="s">
        <v>218</v>
      </c>
      <c r="F675" s="149">
        <v>9.7880556237957652</v>
      </c>
      <c r="G675" s="148" t="s">
        <v>219</v>
      </c>
    </row>
    <row r="676" spans="1:7">
      <c r="A676" s="147">
        <v>2020</v>
      </c>
      <c r="B676" s="147" t="s">
        <v>245</v>
      </c>
      <c r="C676" s="148" t="s">
        <v>133</v>
      </c>
      <c r="D676" s="147" t="s">
        <v>1</v>
      </c>
      <c r="E676" s="147" t="s">
        <v>218</v>
      </c>
      <c r="F676" s="149">
        <v>5.0624476209773031</v>
      </c>
      <c r="G676" s="148" t="s">
        <v>219</v>
      </c>
    </row>
    <row r="677" spans="1:7">
      <c r="A677" s="147">
        <v>2021</v>
      </c>
      <c r="B677" s="147" t="s">
        <v>245</v>
      </c>
      <c r="C677" s="148" t="s">
        <v>133</v>
      </c>
      <c r="D677" s="147" t="s">
        <v>1</v>
      </c>
      <c r="E677" s="147" t="s">
        <v>218</v>
      </c>
      <c r="F677" s="149">
        <v>7.3410700593033926</v>
      </c>
      <c r="G677" s="148" t="s">
        <v>219</v>
      </c>
    </row>
    <row r="678" spans="1:7">
      <c r="A678" s="147">
        <v>2022</v>
      </c>
      <c r="B678" s="147" t="s">
        <v>245</v>
      </c>
      <c r="C678" s="148" t="s">
        <v>133</v>
      </c>
      <c r="D678" s="147" t="s">
        <v>1</v>
      </c>
      <c r="E678" s="147" t="s">
        <v>218</v>
      </c>
      <c r="F678" s="149">
        <v>8.7846173438273745</v>
      </c>
      <c r="G678" s="148" t="s">
        <v>219</v>
      </c>
    </row>
    <row r="679" spans="1:7">
      <c r="A679" s="147" t="s">
        <v>185</v>
      </c>
      <c r="B679" s="147" t="s">
        <v>245</v>
      </c>
      <c r="C679" s="148" t="s">
        <v>133</v>
      </c>
      <c r="D679" s="147" t="s">
        <v>1</v>
      </c>
      <c r="E679" s="147" t="s">
        <v>218</v>
      </c>
      <c r="F679" s="149">
        <v>9.2359473690367366</v>
      </c>
      <c r="G679" s="148" t="s">
        <v>219</v>
      </c>
    </row>
    <row r="680" spans="1:7">
      <c r="A680" s="147" t="s">
        <v>107</v>
      </c>
      <c r="B680" s="147" t="s">
        <v>245</v>
      </c>
      <c r="C680" s="148" t="s">
        <v>133</v>
      </c>
      <c r="D680" s="147" t="s">
        <v>1</v>
      </c>
      <c r="E680" s="147" t="s">
        <v>218</v>
      </c>
      <c r="F680" s="149">
        <v>17.680671541066573</v>
      </c>
      <c r="G680" s="148" t="s">
        <v>219</v>
      </c>
    </row>
    <row r="681" spans="1:7">
      <c r="A681" s="147">
        <v>2018</v>
      </c>
      <c r="B681" s="147" t="s">
        <v>245</v>
      </c>
      <c r="C681" s="148" t="s">
        <v>133</v>
      </c>
      <c r="D681" s="147" t="s">
        <v>2</v>
      </c>
      <c r="E681" s="147" t="s">
        <v>218</v>
      </c>
      <c r="F681" s="149">
        <v>45.047187005281415</v>
      </c>
      <c r="G681" s="148" t="s">
        <v>219</v>
      </c>
    </row>
    <row r="682" spans="1:7">
      <c r="A682" s="147">
        <v>2019</v>
      </c>
      <c r="B682" s="147" t="s">
        <v>245</v>
      </c>
      <c r="C682" s="148" t="s">
        <v>133</v>
      </c>
      <c r="D682" s="147" t="s">
        <v>2</v>
      </c>
      <c r="E682" s="147" t="s">
        <v>218</v>
      </c>
      <c r="F682" s="149">
        <v>43.965568219014742</v>
      </c>
      <c r="G682" s="148" t="s">
        <v>219</v>
      </c>
    </row>
    <row r="683" spans="1:7">
      <c r="A683" s="147">
        <v>2020</v>
      </c>
      <c r="B683" s="147" t="s">
        <v>245</v>
      </c>
      <c r="C683" s="148" t="s">
        <v>133</v>
      </c>
      <c r="D683" s="147" t="s">
        <v>2</v>
      </c>
      <c r="E683" s="147" t="s">
        <v>218</v>
      </c>
      <c r="F683" s="149">
        <v>36.960530292477131</v>
      </c>
      <c r="G683" s="148" t="s">
        <v>219</v>
      </c>
    </row>
    <row r="684" spans="1:7">
      <c r="A684" s="147">
        <v>2021</v>
      </c>
      <c r="B684" s="147" t="s">
        <v>245</v>
      </c>
      <c r="C684" s="148" t="s">
        <v>133</v>
      </c>
      <c r="D684" s="147" t="s">
        <v>2</v>
      </c>
      <c r="E684" s="147" t="s">
        <v>218</v>
      </c>
      <c r="F684" s="149">
        <v>48.061987180800635</v>
      </c>
      <c r="G684" s="148" t="s">
        <v>219</v>
      </c>
    </row>
    <row r="685" spans="1:7">
      <c r="A685" s="147">
        <v>2022</v>
      </c>
      <c r="B685" s="147" t="s">
        <v>245</v>
      </c>
      <c r="C685" s="148" t="s">
        <v>133</v>
      </c>
      <c r="D685" s="147" t="s">
        <v>2</v>
      </c>
      <c r="E685" s="147" t="s">
        <v>218</v>
      </c>
      <c r="F685" s="149">
        <v>48.498810293477547</v>
      </c>
      <c r="G685" s="148" t="s">
        <v>219</v>
      </c>
    </row>
    <row r="686" spans="1:7">
      <c r="A686" s="147" t="s">
        <v>185</v>
      </c>
      <c r="B686" s="147" t="s">
        <v>245</v>
      </c>
      <c r="C686" s="148" t="s">
        <v>133</v>
      </c>
      <c r="D686" s="147" t="s">
        <v>2</v>
      </c>
      <c r="E686" s="147" t="s">
        <v>218</v>
      </c>
      <c r="F686" s="149">
        <v>40.701067557936078</v>
      </c>
      <c r="G686" s="148" t="s">
        <v>219</v>
      </c>
    </row>
    <row r="687" spans="1:7">
      <c r="A687" s="147" t="s">
        <v>107</v>
      </c>
      <c r="B687" s="147" t="s">
        <v>245</v>
      </c>
      <c r="C687" s="148" t="s">
        <v>133</v>
      </c>
      <c r="D687" s="147" t="s">
        <v>2</v>
      </c>
      <c r="E687" s="147" t="s">
        <v>218</v>
      </c>
      <c r="F687" s="149">
        <v>41.260774197928875</v>
      </c>
      <c r="G687" s="148" t="s">
        <v>219</v>
      </c>
    </row>
    <row r="688" spans="1:7">
      <c r="A688" s="147">
        <v>2018</v>
      </c>
      <c r="B688" s="147" t="s">
        <v>245</v>
      </c>
      <c r="C688" s="148" t="s">
        <v>133</v>
      </c>
      <c r="D688" s="147" t="s">
        <v>68</v>
      </c>
      <c r="E688" s="147" t="s">
        <v>218</v>
      </c>
      <c r="F688" s="149">
        <v>15.209524186245371</v>
      </c>
      <c r="G688" s="148" t="s">
        <v>219</v>
      </c>
    </row>
    <row r="689" spans="1:7">
      <c r="A689" s="147">
        <v>2019</v>
      </c>
      <c r="B689" s="147" t="s">
        <v>245</v>
      </c>
      <c r="C689" s="148" t="s">
        <v>133</v>
      </c>
      <c r="D689" s="147" t="s">
        <v>68</v>
      </c>
      <c r="E689" s="147" t="s">
        <v>218</v>
      </c>
      <c r="F689" s="149">
        <v>16.18845369042586</v>
      </c>
      <c r="G689" s="148" t="s">
        <v>219</v>
      </c>
    </row>
    <row r="690" spans="1:7">
      <c r="A690" s="147">
        <v>2020</v>
      </c>
      <c r="B690" s="147" t="s">
        <v>245</v>
      </c>
      <c r="C690" s="148" t="s">
        <v>133</v>
      </c>
      <c r="D690" s="147" t="s">
        <v>68</v>
      </c>
      <c r="E690" s="147" t="s">
        <v>218</v>
      </c>
      <c r="F690" s="149">
        <v>20.960613422945411</v>
      </c>
      <c r="G690" s="148" t="s">
        <v>219</v>
      </c>
    </row>
    <row r="691" spans="1:7">
      <c r="A691" s="147">
        <v>2021</v>
      </c>
      <c r="B691" s="147" t="s">
        <v>245</v>
      </c>
      <c r="C691" s="148" t="s">
        <v>133</v>
      </c>
      <c r="D691" s="147" t="s">
        <v>68</v>
      </c>
      <c r="E691" s="147" t="s">
        <v>218</v>
      </c>
      <c r="F691" s="149">
        <v>34.420054176420848</v>
      </c>
      <c r="G691" s="148" t="s">
        <v>219</v>
      </c>
    </row>
    <row r="692" spans="1:7">
      <c r="A692" s="147">
        <v>2022</v>
      </c>
      <c r="B692" s="147" t="s">
        <v>245</v>
      </c>
      <c r="C692" s="148" t="s">
        <v>133</v>
      </c>
      <c r="D692" s="147" t="s">
        <v>68</v>
      </c>
      <c r="E692" s="147" t="s">
        <v>218</v>
      </c>
      <c r="F692" s="149">
        <v>44.910719508026105</v>
      </c>
      <c r="G692" s="148" t="s">
        <v>219</v>
      </c>
    </row>
    <row r="693" spans="1:7">
      <c r="A693" s="147" t="s">
        <v>185</v>
      </c>
      <c r="B693" s="147" t="s">
        <v>245</v>
      </c>
      <c r="C693" s="148" t="s">
        <v>133</v>
      </c>
      <c r="D693" s="147" t="s">
        <v>68</v>
      </c>
      <c r="E693" s="147" t="s">
        <v>218</v>
      </c>
      <c r="F693" s="149">
        <v>52.907996469968559</v>
      </c>
      <c r="G693" s="148" t="s">
        <v>219</v>
      </c>
    </row>
    <row r="694" spans="1:7">
      <c r="A694" s="147" t="s">
        <v>107</v>
      </c>
      <c r="B694" s="147" t="s">
        <v>245</v>
      </c>
      <c r="C694" s="148" t="s">
        <v>133</v>
      </c>
      <c r="D694" s="147" t="s">
        <v>68</v>
      </c>
      <c r="E694" s="147" t="s">
        <v>218</v>
      </c>
      <c r="F694" s="149">
        <v>61.160922257828226</v>
      </c>
      <c r="G694" s="148" t="s">
        <v>219</v>
      </c>
    </row>
    <row r="695" spans="1:7">
      <c r="A695" s="147">
        <v>2018</v>
      </c>
      <c r="B695" s="147" t="s">
        <v>245</v>
      </c>
      <c r="C695" s="148" t="s">
        <v>133</v>
      </c>
      <c r="D695" s="147" t="s">
        <v>4</v>
      </c>
      <c r="E695" s="147" t="s">
        <v>218</v>
      </c>
      <c r="F695" s="149">
        <v>119.61244872585743</v>
      </c>
      <c r="G695" s="148" t="s">
        <v>219</v>
      </c>
    </row>
    <row r="696" spans="1:7">
      <c r="A696" s="147">
        <v>2019</v>
      </c>
      <c r="B696" s="147" t="s">
        <v>245</v>
      </c>
      <c r="C696" s="148" t="s">
        <v>133</v>
      </c>
      <c r="D696" s="147" t="s">
        <v>4</v>
      </c>
      <c r="E696" s="147" t="s">
        <v>218</v>
      </c>
      <c r="F696" s="149">
        <v>121.50055061640313</v>
      </c>
      <c r="G696" s="148" t="s">
        <v>219</v>
      </c>
    </row>
    <row r="697" spans="1:7">
      <c r="A697" s="147">
        <v>2020</v>
      </c>
      <c r="B697" s="147" t="s">
        <v>245</v>
      </c>
      <c r="C697" s="148" t="s">
        <v>133</v>
      </c>
      <c r="D697" s="147" t="s">
        <v>4</v>
      </c>
      <c r="E697" s="147" t="s">
        <v>218</v>
      </c>
      <c r="F697" s="149">
        <v>63.421648547294005</v>
      </c>
      <c r="G697" s="148" t="s">
        <v>219</v>
      </c>
    </row>
    <row r="698" spans="1:7">
      <c r="A698" s="147">
        <v>2021</v>
      </c>
      <c r="B698" s="147" t="s">
        <v>245</v>
      </c>
      <c r="C698" s="148" t="s">
        <v>133</v>
      </c>
      <c r="D698" s="147" t="s">
        <v>4</v>
      </c>
      <c r="E698" s="147" t="s">
        <v>218</v>
      </c>
      <c r="F698" s="149">
        <v>88.292468486969142</v>
      </c>
      <c r="G698" s="148" t="s">
        <v>219</v>
      </c>
    </row>
    <row r="699" spans="1:7">
      <c r="A699" s="147">
        <v>2022</v>
      </c>
      <c r="B699" s="147" t="s">
        <v>245</v>
      </c>
      <c r="C699" s="148" t="s">
        <v>133</v>
      </c>
      <c r="D699" s="147" t="s">
        <v>4</v>
      </c>
      <c r="E699" s="147" t="s">
        <v>218</v>
      </c>
      <c r="F699" s="149">
        <v>98.403030834301191</v>
      </c>
      <c r="G699" s="148" t="s">
        <v>219</v>
      </c>
    </row>
    <row r="700" spans="1:7">
      <c r="A700" s="147" t="s">
        <v>185</v>
      </c>
      <c r="B700" s="147" t="s">
        <v>245</v>
      </c>
      <c r="C700" s="148" t="s">
        <v>133</v>
      </c>
      <c r="D700" s="147" t="s">
        <v>4</v>
      </c>
      <c r="E700" s="147" t="s">
        <v>218</v>
      </c>
      <c r="F700" s="149">
        <v>103.4255085637418</v>
      </c>
      <c r="G700" s="148" t="s">
        <v>219</v>
      </c>
    </row>
    <row r="701" spans="1:7">
      <c r="A701" s="147" t="s">
        <v>107</v>
      </c>
      <c r="B701" s="147" t="s">
        <v>245</v>
      </c>
      <c r="C701" s="148" t="s">
        <v>133</v>
      </c>
      <c r="D701" s="147" t="s">
        <v>4</v>
      </c>
      <c r="E701" s="147" t="s">
        <v>218</v>
      </c>
      <c r="F701" s="149">
        <v>138.31546533155347</v>
      </c>
      <c r="G701" s="148" t="s">
        <v>219</v>
      </c>
    </row>
    <row r="702" spans="1:7">
      <c r="A702" s="147">
        <v>2018</v>
      </c>
      <c r="B702" s="147" t="s">
        <v>245</v>
      </c>
      <c r="C702" s="148" t="s">
        <v>133</v>
      </c>
      <c r="D702" s="147" t="s">
        <v>5</v>
      </c>
      <c r="E702" s="147" t="s">
        <v>218</v>
      </c>
      <c r="F702" s="149">
        <v>17.748569288241512</v>
      </c>
      <c r="G702" s="148" t="s">
        <v>219</v>
      </c>
    </row>
    <row r="703" spans="1:7">
      <c r="A703" s="147">
        <v>2019</v>
      </c>
      <c r="B703" s="147" t="s">
        <v>245</v>
      </c>
      <c r="C703" s="148" t="s">
        <v>133</v>
      </c>
      <c r="D703" s="147" t="s">
        <v>5</v>
      </c>
      <c r="E703" s="147" t="s">
        <v>218</v>
      </c>
      <c r="F703" s="149">
        <v>17.752819907176182</v>
      </c>
      <c r="G703" s="148" t="s">
        <v>219</v>
      </c>
    </row>
    <row r="704" spans="1:7">
      <c r="A704" s="147">
        <v>2020</v>
      </c>
      <c r="B704" s="147" t="s">
        <v>245</v>
      </c>
      <c r="C704" s="148" t="s">
        <v>133</v>
      </c>
      <c r="D704" s="147" t="s">
        <v>5</v>
      </c>
      <c r="E704" s="147" t="s">
        <v>218</v>
      </c>
      <c r="F704" s="149">
        <v>12.594221539744742</v>
      </c>
      <c r="G704" s="148" t="s">
        <v>219</v>
      </c>
    </row>
    <row r="705" spans="1:7">
      <c r="A705" s="147">
        <v>2021</v>
      </c>
      <c r="B705" s="147" t="s">
        <v>245</v>
      </c>
      <c r="C705" s="148" t="s">
        <v>133</v>
      </c>
      <c r="D705" s="147" t="s">
        <v>5</v>
      </c>
      <c r="E705" s="147" t="s">
        <v>218</v>
      </c>
      <c r="F705" s="149">
        <v>18.184155973070283</v>
      </c>
      <c r="G705" s="148" t="s">
        <v>219</v>
      </c>
    </row>
    <row r="706" spans="1:7">
      <c r="A706" s="147">
        <v>2022</v>
      </c>
      <c r="B706" s="147" t="s">
        <v>245</v>
      </c>
      <c r="C706" s="148" t="s">
        <v>133</v>
      </c>
      <c r="D706" s="147" t="s">
        <v>5</v>
      </c>
      <c r="E706" s="147" t="s">
        <v>218</v>
      </c>
      <c r="F706" s="149">
        <v>20.942778243614679</v>
      </c>
      <c r="G706" s="148" t="s">
        <v>219</v>
      </c>
    </row>
    <row r="707" spans="1:7">
      <c r="A707" s="147" t="s">
        <v>185</v>
      </c>
      <c r="B707" s="147" t="s">
        <v>245</v>
      </c>
      <c r="C707" s="148" t="s">
        <v>133</v>
      </c>
      <c r="D707" s="147" t="s">
        <v>5</v>
      </c>
      <c r="E707" s="147" t="s">
        <v>218</v>
      </c>
      <c r="F707" s="149">
        <v>25.401982392949108</v>
      </c>
      <c r="G707" s="148" t="s">
        <v>219</v>
      </c>
    </row>
    <row r="708" spans="1:7">
      <c r="A708" s="147" t="s">
        <v>107</v>
      </c>
      <c r="B708" s="147" t="s">
        <v>245</v>
      </c>
      <c r="C708" s="148" t="s">
        <v>133</v>
      </c>
      <c r="D708" s="147" t="s">
        <v>5</v>
      </c>
      <c r="E708" s="147" t="s">
        <v>218</v>
      </c>
      <c r="F708" s="149">
        <v>24.548516967102277</v>
      </c>
      <c r="G708" s="148" t="s">
        <v>219</v>
      </c>
    </row>
    <row r="709" spans="1:7">
      <c r="A709" s="147">
        <v>2018</v>
      </c>
      <c r="B709" s="147" t="s">
        <v>245</v>
      </c>
      <c r="C709" s="148" t="s">
        <v>133</v>
      </c>
      <c r="D709" s="147" t="s">
        <v>6</v>
      </c>
      <c r="E709" s="147" t="s">
        <v>218</v>
      </c>
      <c r="F709" s="149">
        <v>41.70728125347113</v>
      </c>
      <c r="G709" s="148" t="s">
        <v>219</v>
      </c>
    </row>
    <row r="710" spans="1:7">
      <c r="A710" s="147">
        <v>2019</v>
      </c>
      <c r="B710" s="147" t="s">
        <v>245</v>
      </c>
      <c r="C710" s="148" t="s">
        <v>133</v>
      </c>
      <c r="D710" s="147" t="s">
        <v>6</v>
      </c>
      <c r="E710" s="147" t="s">
        <v>218</v>
      </c>
      <c r="F710" s="149">
        <v>44.727561821982455</v>
      </c>
      <c r="G710" s="148" t="s">
        <v>219</v>
      </c>
    </row>
    <row r="711" spans="1:7">
      <c r="A711" s="147">
        <v>2020</v>
      </c>
      <c r="B711" s="147" t="s">
        <v>245</v>
      </c>
      <c r="C711" s="148" t="s">
        <v>133</v>
      </c>
      <c r="D711" s="147" t="s">
        <v>6</v>
      </c>
      <c r="E711" s="147" t="s">
        <v>218</v>
      </c>
      <c r="F711" s="149">
        <v>30.307449836308521</v>
      </c>
      <c r="G711" s="148" t="s">
        <v>219</v>
      </c>
    </row>
    <row r="712" spans="1:7">
      <c r="A712" s="147">
        <v>2021</v>
      </c>
      <c r="B712" s="147" t="s">
        <v>245</v>
      </c>
      <c r="C712" s="148" t="s">
        <v>133</v>
      </c>
      <c r="D712" s="147" t="s">
        <v>6</v>
      </c>
      <c r="E712" s="147" t="s">
        <v>218</v>
      </c>
      <c r="F712" s="149">
        <v>38.37724081003087</v>
      </c>
      <c r="G712" s="148" t="s">
        <v>219</v>
      </c>
    </row>
    <row r="713" spans="1:7">
      <c r="A713" s="147">
        <v>2022</v>
      </c>
      <c r="B713" s="147" t="s">
        <v>245</v>
      </c>
      <c r="C713" s="148" t="s">
        <v>133</v>
      </c>
      <c r="D713" s="147" t="s">
        <v>6</v>
      </c>
      <c r="E713" s="147" t="s">
        <v>218</v>
      </c>
      <c r="F713" s="149">
        <v>40.623733419094606</v>
      </c>
      <c r="G713" s="148" t="s">
        <v>219</v>
      </c>
    </row>
    <row r="714" spans="1:7">
      <c r="A714" s="147" t="s">
        <v>185</v>
      </c>
      <c r="B714" s="147" t="s">
        <v>245</v>
      </c>
      <c r="C714" s="148" t="s">
        <v>133</v>
      </c>
      <c r="D714" s="147" t="s">
        <v>6</v>
      </c>
      <c r="E714" s="147" t="s">
        <v>218</v>
      </c>
      <c r="F714" s="149">
        <v>43.240407167301186</v>
      </c>
      <c r="G714" s="148" t="s">
        <v>219</v>
      </c>
    </row>
    <row r="715" spans="1:7">
      <c r="A715" s="147" t="s">
        <v>107</v>
      </c>
      <c r="B715" s="147" t="s">
        <v>245</v>
      </c>
      <c r="C715" s="148" t="s">
        <v>133</v>
      </c>
      <c r="D715" s="147" t="s">
        <v>6</v>
      </c>
      <c r="E715" s="147" t="s">
        <v>218</v>
      </c>
      <c r="F715" s="149">
        <v>46.290339077654629</v>
      </c>
      <c r="G715" s="148" t="s">
        <v>219</v>
      </c>
    </row>
    <row r="716" spans="1:7">
      <c r="A716" s="147">
        <v>2018</v>
      </c>
      <c r="B716" s="147" t="s">
        <v>245</v>
      </c>
      <c r="C716" s="148" t="s">
        <v>133</v>
      </c>
      <c r="D716" s="147" t="s">
        <v>7</v>
      </c>
      <c r="E716" s="147" t="s">
        <v>218</v>
      </c>
      <c r="F716" s="149">
        <v>13.408386302101327</v>
      </c>
      <c r="G716" s="148" t="s">
        <v>219</v>
      </c>
    </row>
    <row r="717" spans="1:7">
      <c r="A717" s="147">
        <v>2019</v>
      </c>
      <c r="B717" s="147" t="s">
        <v>245</v>
      </c>
      <c r="C717" s="148" t="s">
        <v>133</v>
      </c>
      <c r="D717" s="147" t="s">
        <v>7</v>
      </c>
      <c r="E717" s="147" t="s">
        <v>218</v>
      </c>
      <c r="F717" s="149">
        <v>12.162519097353181</v>
      </c>
      <c r="G717" s="148" t="s">
        <v>219</v>
      </c>
    </row>
    <row r="718" spans="1:7">
      <c r="A718" s="147">
        <v>2020</v>
      </c>
      <c r="B718" s="147" t="s">
        <v>245</v>
      </c>
      <c r="C718" s="148" t="s">
        <v>133</v>
      </c>
      <c r="D718" s="147" t="s">
        <v>7</v>
      </c>
      <c r="E718" s="147" t="s">
        <v>218</v>
      </c>
      <c r="F718" s="149">
        <v>5.4991706945430785</v>
      </c>
      <c r="G718" s="148" t="s">
        <v>219</v>
      </c>
    </row>
    <row r="719" spans="1:7">
      <c r="A719" s="147">
        <v>2021</v>
      </c>
      <c r="B719" s="147" t="s">
        <v>245</v>
      </c>
      <c r="C719" s="148" t="s">
        <v>133</v>
      </c>
      <c r="D719" s="147" t="s">
        <v>7</v>
      </c>
      <c r="E719" s="147" t="s">
        <v>218</v>
      </c>
      <c r="F719" s="149">
        <v>5.2653650702469408</v>
      </c>
      <c r="G719" s="148" t="s">
        <v>219</v>
      </c>
    </row>
    <row r="720" spans="1:7">
      <c r="A720" s="147">
        <v>2022</v>
      </c>
      <c r="B720" s="147" t="s">
        <v>245</v>
      </c>
      <c r="C720" s="148" t="s">
        <v>133</v>
      </c>
      <c r="D720" s="147" t="s">
        <v>7</v>
      </c>
      <c r="E720" s="147" t="s">
        <v>218</v>
      </c>
      <c r="F720" s="149">
        <v>7.0549418588164485</v>
      </c>
      <c r="G720" s="148" t="s">
        <v>219</v>
      </c>
    </row>
    <row r="721" spans="1:7">
      <c r="A721" s="147" t="s">
        <v>185</v>
      </c>
      <c r="B721" s="147" t="s">
        <v>245</v>
      </c>
      <c r="C721" s="148" t="s">
        <v>133</v>
      </c>
      <c r="D721" s="147" t="s">
        <v>7</v>
      </c>
      <c r="E721" s="147" t="s">
        <v>218</v>
      </c>
      <c r="F721" s="149">
        <v>6.7037875135446177</v>
      </c>
      <c r="G721" s="148" t="s">
        <v>219</v>
      </c>
    </row>
    <row r="722" spans="1:7">
      <c r="A722" s="147" t="s">
        <v>107</v>
      </c>
      <c r="B722" s="147" t="s">
        <v>245</v>
      </c>
      <c r="C722" s="148" t="s">
        <v>133</v>
      </c>
      <c r="D722" s="147" t="s">
        <v>7</v>
      </c>
      <c r="E722" s="147" t="s">
        <v>218</v>
      </c>
      <c r="F722" s="149">
        <v>7.1002763766340751</v>
      </c>
      <c r="G722" s="148" t="s">
        <v>219</v>
      </c>
    </row>
    <row r="723" spans="1:7">
      <c r="A723" s="147">
        <v>2018</v>
      </c>
      <c r="B723" s="147" t="s">
        <v>245</v>
      </c>
      <c r="C723" s="148" t="s">
        <v>133</v>
      </c>
      <c r="D723" s="147" t="s">
        <v>8</v>
      </c>
      <c r="E723" s="147" t="s">
        <v>218</v>
      </c>
      <c r="F723" s="149">
        <v>45.461533473608739</v>
      </c>
      <c r="G723" s="148" t="s">
        <v>219</v>
      </c>
    </row>
    <row r="724" spans="1:7">
      <c r="A724" s="147">
        <v>2019</v>
      </c>
      <c r="B724" s="147" t="s">
        <v>245</v>
      </c>
      <c r="C724" s="148" t="s">
        <v>133</v>
      </c>
      <c r="D724" s="147" t="s">
        <v>8</v>
      </c>
      <c r="E724" s="147" t="s">
        <v>218</v>
      </c>
      <c r="F724" s="149">
        <v>44.950552769164162</v>
      </c>
      <c r="G724" s="148" t="s">
        <v>219</v>
      </c>
    </row>
    <row r="725" spans="1:7">
      <c r="A725" s="147">
        <v>2020</v>
      </c>
      <c r="B725" s="147" t="s">
        <v>245</v>
      </c>
      <c r="C725" s="148" t="s">
        <v>133</v>
      </c>
      <c r="D725" s="147" t="s">
        <v>8</v>
      </c>
      <c r="E725" s="147" t="s">
        <v>218</v>
      </c>
      <c r="F725" s="149">
        <v>45.027150936290518</v>
      </c>
      <c r="G725" s="148" t="s">
        <v>219</v>
      </c>
    </row>
    <row r="726" spans="1:7">
      <c r="A726" s="147">
        <v>2021</v>
      </c>
      <c r="B726" s="147" t="s">
        <v>245</v>
      </c>
      <c r="C726" s="148" t="s">
        <v>133</v>
      </c>
      <c r="D726" s="147" t="s">
        <v>8</v>
      </c>
      <c r="E726" s="147" t="s">
        <v>218</v>
      </c>
      <c r="F726" s="149">
        <v>47.1193777191761</v>
      </c>
      <c r="G726" s="148" t="s">
        <v>219</v>
      </c>
    </row>
    <row r="727" spans="1:7">
      <c r="A727" s="147">
        <v>2022</v>
      </c>
      <c r="B727" s="147" t="s">
        <v>245</v>
      </c>
      <c r="C727" s="148" t="s">
        <v>133</v>
      </c>
      <c r="D727" s="147" t="s">
        <v>8</v>
      </c>
      <c r="E727" s="147" t="s">
        <v>218</v>
      </c>
      <c r="F727" s="149">
        <v>46.027472171126377</v>
      </c>
      <c r="G727" s="148" t="s">
        <v>219</v>
      </c>
    </row>
    <row r="728" spans="1:7">
      <c r="A728" s="147" t="s">
        <v>185</v>
      </c>
      <c r="B728" s="147" t="s">
        <v>245</v>
      </c>
      <c r="C728" s="148" t="s">
        <v>133</v>
      </c>
      <c r="D728" s="147" t="s">
        <v>8</v>
      </c>
      <c r="E728" s="147" t="s">
        <v>218</v>
      </c>
      <c r="F728" s="149">
        <v>48.795863668234858</v>
      </c>
      <c r="G728" s="148" t="s">
        <v>219</v>
      </c>
    </row>
    <row r="729" spans="1:7">
      <c r="A729" s="147" t="s">
        <v>107</v>
      </c>
      <c r="B729" s="147" t="s">
        <v>245</v>
      </c>
      <c r="C729" s="148" t="s">
        <v>133</v>
      </c>
      <c r="D729" s="147" t="s">
        <v>8</v>
      </c>
      <c r="E729" s="147" t="s">
        <v>218</v>
      </c>
      <c r="F729" s="149">
        <v>51.433383459095396</v>
      </c>
      <c r="G729" s="148" t="s">
        <v>219</v>
      </c>
    </row>
    <row r="730" spans="1:7">
      <c r="A730" s="147">
        <v>2018</v>
      </c>
      <c r="B730" s="147" t="s">
        <v>245</v>
      </c>
      <c r="C730" s="148" t="s">
        <v>133</v>
      </c>
      <c r="D730" s="147" t="s">
        <v>9</v>
      </c>
      <c r="E730" s="147" t="s">
        <v>218</v>
      </c>
      <c r="F730" s="149">
        <v>51.246709278925834</v>
      </c>
      <c r="G730" s="148" t="s">
        <v>219</v>
      </c>
    </row>
    <row r="731" spans="1:7">
      <c r="A731" s="147">
        <v>2019</v>
      </c>
      <c r="B731" s="147" t="s">
        <v>245</v>
      </c>
      <c r="C731" s="148" t="s">
        <v>133</v>
      </c>
      <c r="D731" s="147" t="s">
        <v>9</v>
      </c>
      <c r="E731" s="147" t="s">
        <v>218</v>
      </c>
      <c r="F731" s="149">
        <v>53.28343768151214</v>
      </c>
      <c r="G731" s="148" t="s">
        <v>219</v>
      </c>
    </row>
    <row r="732" spans="1:7">
      <c r="A732" s="147">
        <v>2020</v>
      </c>
      <c r="B732" s="147" t="s">
        <v>245</v>
      </c>
      <c r="C732" s="148" t="s">
        <v>133</v>
      </c>
      <c r="D732" s="147" t="s">
        <v>9</v>
      </c>
      <c r="E732" s="147" t="s">
        <v>218</v>
      </c>
      <c r="F732" s="149">
        <v>49.720728791108321</v>
      </c>
      <c r="G732" s="148" t="s">
        <v>219</v>
      </c>
    </row>
    <row r="733" spans="1:7">
      <c r="A733" s="147">
        <v>2021</v>
      </c>
      <c r="B733" s="147" t="s">
        <v>245</v>
      </c>
      <c r="C733" s="148" t="s">
        <v>133</v>
      </c>
      <c r="D733" s="147" t="s">
        <v>9</v>
      </c>
      <c r="E733" s="147" t="s">
        <v>218</v>
      </c>
      <c r="F733" s="149">
        <v>52.960073528775048</v>
      </c>
      <c r="G733" s="148" t="s">
        <v>219</v>
      </c>
    </row>
    <row r="734" spans="1:7">
      <c r="A734" s="147">
        <v>2022</v>
      </c>
      <c r="B734" s="147" t="s">
        <v>245</v>
      </c>
      <c r="C734" s="148" t="s">
        <v>133</v>
      </c>
      <c r="D734" s="147" t="s">
        <v>9</v>
      </c>
      <c r="E734" s="147" t="s">
        <v>218</v>
      </c>
      <c r="F734" s="149">
        <v>54.51389535026118</v>
      </c>
      <c r="G734" s="148" t="s">
        <v>219</v>
      </c>
    </row>
    <row r="735" spans="1:7">
      <c r="A735" s="147" t="s">
        <v>185</v>
      </c>
      <c r="B735" s="147" t="s">
        <v>245</v>
      </c>
      <c r="C735" s="148" t="s">
        <v>133</v>
      </c>
      <c r="D735" s="147" t="s">
        <v>9</v>
      </c>
      <c r="E735" s="147" t="s">
        <v>218</v>
      </c>
      <c r="F735" s="149">
        <v>54.598886787190828</v>
      </c>
      <c r="G735" s="148" t="s">
        <v>219</v>
      </c>
    </row>
    <row r="736" spans="1:7">
      <c r="A736" s="147" t="s">
        <v>107</v>
      </c>
      <c r="B736" s="147" t="s">
        <v>245</v>
      </c>
      <c r="C736" s="148" t="s">
        <v>133</v>
      </c>
      <c r="D736" s="147" t="s">
        <v>9</v>
      </c>
      <c r="E736" s="147" t="s">
        <v>218</v>
      </c>
      <c r="F736" s="149">
        <v>58.039073367352032</v>
      </c>
      <c r="G736" s="148" t="s">
        <v>219</v>
      </c>
    </row>
    <row r="737" spans="1:7">
      <c r="A737" s="147">
        <v>2018</v>
      </c>
      <c r="B737" s="147" t="s">
        <v>245</v>
      </c>
      <c r="C737" s="148" t="s">
        <v>133</v>
      </c>
      <c r="D737" s="147" t="s">
        <v>70</v>
      </c>
      <c r="E737" s="147" t="s">
        <v>218</v>
      </c>
      <c r="F737" s="149">
        <v>78.856955422223535</v>
      </c>
      <c r="G737" s="148" t="s">
        <v>219</v>
      </c>
    </row>
    <row r="738" spans="1:7">
      <c r="A738" s="147">
        <v>2019</v>
      </c>
      <c r="B738" s="147" t="s">
        <v>245</v>
      </c>
      <c r="C738" s="148" t="s">
        <v>133</v>
      </c>
      <c r="D738" s="147" t="s">
        <v>70</v>
      </c>
      <c r="E738" s="147" t="s">
        <v>218</v>
      </c>
      <c r="F738" s="149">
        <v>86.232192812018297</v>
      </c>
      <c r="G738" s="148" t="s">
        <v>219</v>
      </c>
    </row>
    <row r="739" spans="1:7">
      <c r="A739" s="147">
        <v>2020</v>
      </c>
      <c r="B739" s="147" t="s">
        <v>245</v>
      </c>
      <c r="C739" s="148" t="s">
        <v>133</v>
      </c>
      <c r="D739" s="147" t="s">
        <v>70</v>
      </c>
      <c r="E739" s="147" t="s">
        <v>218</v>
      </c>
      <c r="F739" s="149">
        <v>80.427847782939438</v>
      </c>
      <c r="G739" s="148" t="s">
        <v>219</v>
      </c>
    </row>
    <row r="740" spans="1:7">
      <c r="A740" s="147">
        <v>2021</v>
      </c>
      <c r="B740" s="147" t="s">
        <v>245</v>
      </c>
      <c r="C740" s="148" t="s">
        <v>133</v>
      </c>
      <c r="D740" s="147" t="s">
        <v>70</v>
      </c>
      <c r="E740" s="147" t="s">
        <v>218</v>
      </c>
      <c r="F740" s="149">
        <v>80.592181717359196</v>
      </c>
      <c r="G740" s="148" t="s">
        <v>219</v>
      </c>
    </row>
    <row r="741" spans="1:7">
      <c r="A741" s="147">
        <v>2022</v>
      </c>
      <c r="B741" s="147" t="s">
        <v>245</v>
      </c>
      <c r="C741" s="148" t="s">
        <v>133</v>
      </c>
      <c r="D741" s="147" t="s">
        <v>70</v>
      </c>
      <c r="E741" s="147" t="s">
        <v>218</v>
      </c>
      <c r="F741" s="149">
        <v>89.427492764305299</v>
      </c>
      <c r="G741" s="148" t="s">
        <v>219</v>
      </c>
    </row>
    <row r="742" spans="1:7">
      <c r="A742" s="147" t="s">
        <v>185</v>
      </c>
      <c r="B742" s="147" t="s">
        <v>245</v>
      </c>
      <c r="C742" s="148" t="s">
        <v>133</v>
      </c>
      <c r="D742" s="147" t="s">
        <v>70</v>
      </c>
      <c r="E742" s="147" t="s">
        <v>218</v>
      </c>
      <c r="F742" s="149">
        <v>73.89470685333616</v>
      </c>
      <c r="G742" s="148" t="s">
        <v>219</v>
      </c>
    </row>
    <row r="743" spans="1:7">
      <c r="A743" s="147" t="s">
        <v>107</v>
      </c>
      <c r="B743" s="147" t="s">
        <v>245</v>
      </c>
      <c r="C743" s="148" t="s">
        <v>133</v>
      </c>
      <c r="D743" s="147" t="s">
        <v>70</v>
      </c>
      <c r="E743" s="147" t="s">
        <v>218</v>
      </c>
      <c r="F743" s="149">
        <v>85.448448590845857</v>
      </c>
      <c r="G743" s="148" t="s">
        <v>219</v>
      </c>
    </row>
    <row r="744" spans="1:7">
      <c r="A744" s="147">
        <v>2018</v>
      </c>
      <c r="B744" s="147" t="s">
        <v>245</v>
      </c>
      <c r="C744" s="148" t="s">
        <v>133</v>
      </c>
      <c r="D744" s="147" t="s">
        <v>10</v>
      </c>
      <c r="E744" s="147" t="s">
        <v>218</v>
      </c>
      <c r="F744" s="149">
        <v>2.5838168511326485</v>
      </c>
      <c r="G744" s="148" t="s">
        <v>219</v>
      </c>
    </row>
    <row r="745" spans="1:7">
      <c r="A745" s="147">
        <v>2019</v>
      </c>
      <c r="B745" s="147" t="s">
        <v>245</v>
      </c>
      <c r="C745" s="148" t="s">
        <v>133</v>
      </c>
      <c r="D745" s="147" t="s">
        <v>10</v>
      </c>
      <c r="E745" s="147" t="s">
        <v>218</v>
      </c>
      <c r="F745" s="149">
        <v>4.1344650041867519</v>
      </c>
      <c r="G745" s="148" t="s">
        <v>219</v>
      </c>
    </row>
    <row r="746" spans="1:7">
      <c r="A746" s="147">
        <v>2020</v>
      </c>
      <c r="B746" s="147" t="s">
        <v>245</v>
      </c>
      <c r="C746" s="148" t="s">
        <v>133</v>
      </c>
      <c r="D746" s="147" t="s">
        <v>10</v>
      </c>
      <c r="E746" s="147" t="s">
        <v>218</v>
      </c>
      <c r="F746" s="149">
        <v>3.6852982490395028</v>
      </c>
      <c r="G746" s="148" t="s">
        <v>219</v>
      </c>
    </row>
    <row r="747" spans="1:7">
      <c r="A747" s="147">
        <v>2021</v>
      </c>
      <c r="B747" s="147" t="s">
        <v>245</v>
      </c>
      <c r="C747" s="148" t="s">
        <v>133</v>
      </c>
      <c r="D747" s="147" t="s">
        <v>10</v>
      </c>
      <c r="E747" s="147" t="s">
        <v>218</v>
      </c>
      <c r="F747" s="149">
        <v>3.098894545622469</v>
      </c>
      <c r="G747" s="148" t="s">
        <v>219</v>
      </c>
    </row>
    <row r="748" spans="1:7">
      <c r="A748" s="147">
        <v>2022</v>
      </c>
      <c r="B748" s="147" t="s">
        <v>245</v>
      </c>
      <c r="C748" s="148" t="s">
        <v>133</v>
      </c>
      <c r="D748" s="147" t="s">
        <v>10</v>
      </c>
      <c r="E748" s="147" t="s">
        <v>218</v>
      </c>
      <c r="F748" s="149">
        <v>3.5990823668191512</v>
      </c>
      <c r="G748" s="148" t="s">
        <v>219</v>
      </c>
    </row>
    <row r="749" spans="1:7">
      <c r="A749" s="147" t="s">
        <v>185</v>
      </c>
      <c r="B749" s="147" t="s">
        <v>245</v>
      </c>
      <c r="C749" s="148" t="s">
        <v>133</v>
      </c>
      <c r="D749" s="147" t="s">
        <v>10</v>
      </c>
      <c r="E749" s="147" t="s">
        <v>218</v>
      </c>
      <c r="F749" s="149">
        <v>4.1651577608889863</v>
      </c>
      <c r="G749" s="148" t="s">
        <v>219</v>
      </c>
    </row>
    <row r="750" spans="1:7">
      <c r="A750" s="147" t="s">
        <v>107</v>
      </c>
      <c r="B750" s="147" t="s">
        <v>245</v>
      </c>
      <c r="C750" s="148" t="s">
        <v>133</v>
      </c>
      <c r="D750" s="147" t="s">
        <v>10</v>
      </c>
      <c r="E750" s="147" t="s">
        <v>218</v>
      </c>
      <c r="F750" s="149">
        <v>4.3974492357487716</v>
      </c>
      <c r="G750" s="148" t="s">
        <v>219</v>
      </c>
    </row>
    <row r="751" spans="1:7">
      <c r="A751" s="147">
        <v>2018</v>
      </c>
      <c r="B751" s="147" t="s">
        <v>245</v>
      </c>
      <c r="C751" s="148" t="s">
        <v>133</v>
      </c>
      <c r="D751" s="147" t="s">
        <v>59</v>
      </c>
      <c r="E751" s="147" t="s">
        <v>218</v>
      </c>
      <c r="F751" s="149">
        <v>3.4817412729642192</v>
      </c>
      <c r="G751" s="148" t="s">
        <v>219</v>
      </c>
    </row>
    <row r="752" spans="1:7">
      <c r="A752" s="147">
        <v>2019</v>
      </c>
      <c r="B752" s="147" t="s">
        <v>245</v>
      </c>
      <c r="C752" s="148" t="s">
        <v>133</v>
      </c>
      <c r="D752" s="147" t="s">
        <v>59</v>
      </c>
      <c r="E752" s="147" t="s">
        <v>218</v>
      </c>
      <c r="F752" s="149">
        <v>3.7505243262858197</v>
      </c>
      <c r="G752" s="148" t="s">
        <v>219</v>
      </c>
    </row>
    <row r="753" spans="1:7">
      <c r="A753" s="147">
        <v>2020</v>
      </c>
      <c r="B753" s="147" t="s">
        <v>245</v>
      </c>
      <c r="C753" s="148" t="s">
        <v>133</v>
      </c>
      <c r="D753" s="147" t="s">
        <v>59</v>
      </c>
      <c r="E753" s="147" t="s">
        <v>218</v>
      </c>
      <c r="F753" s="149">
        <v>3.4817089315845249</v>
      </c>
      <c r="G753" s="148" t="s">
        <v>219</v>
      </c>
    </row>
    <row r="754" spans="1:7">
      <c r="A754" s="147">
        <v>2021</v>
      </c>
      <c r="B754" s="147" t="s">
        <v>245</v>
      </c>
      <c r="C754" s="148" t="s">
        <v>133</v>
      </c>
      <c r="D754" s="147" t="s">
        <v>59</v>
      </c>
      <c r="E754" s="147" t="s">
        <v>218</v>
      </c>
      <c r="F754" s="149">
        <v>4.2340191143229573</v>
      </c>
      <c r="G754" s="148" t="s">
        <v>219</v>
      </c>
    </row>
    <row r="755" spans="1:7">
      <c r="A755" s="147">
        <v>2022</v>
      </c>
      <c r="B755" s="147" t="s">
        <v>245</v>
      </c>
      <c r="C755" s="148" t="s">
        <v>133</v>
      </c>
      <c r="D755" s="147" t="s">
        <v>59</v>
      </c>
      <c r="E755" s="147" t="s">
        <v>218</v>
      </c>
      <c r="F755" s="149">
        <v>4.6182616146721696</v>
      </c>
      <c r="G755" s="148" t="s">
        <v>219</v>
      </c>
    </row>
    <row r="756" spans="1:7">
      <c r="A756" s="147" t="s">
        <v>185</v>
      </c>
      <c r="B756" s="147" t="s">
        <v>245</v>
      </c>
      <c r="C756" s="148" t="s">
        <v>133</v>
      </c>
      <c r="D756" s="147" t="s">
        <v>59</v>
      </c>
      <c r="E756" s="147" t="s">
        <v>218</v>
      </c>
      <c r="F756" s="149">
        <v>4.6829889041881723</v>
      </c>
      <c r="G756" s="148" t="s">
        <v>219</v>
      </c>
    </row>
    <row r="757" spans="1:7">
      <c r="A757" s="147" t="s">
        <v>107</v>
      </c>
      <c r="B757" s="147" t="s">
        <v>245</v>
      </c>
      <c r="C757" s="148" t="s">
        <v>133</v>
      </c>
      <c r="D757" s="147" t="s">
        <v>59</v>
      </c>
      <c r="E757" s="147" t="s">
        <v>218</v>
      </c>
      <c r="F757" s="149">
        <v>4.5151152965780676</v>
      </c>
      <c r="G757" s="148" t="s">
        <v>219</v>
      </c>
    </row>
    <row r="758" spans="1:7">
      <c r="A758" s="147">
        <v>2018</v>
      </c>
      <c r="B758" s="147" t="s">
        <v>245</v>
      </c>
      <c r="C758" s="148" t="s">
        <v>133</v>
      </c>
      <c r="D758" s="147" t="s">
        <v>66</v>
      </c>
      <c r="E758" s="147" t="s">
        <v>218</v>
      </c>
      <c r="F758" s="149">
        <v>1.1613058462140606</v>
      </c>
      <c r="G758" s="148" t="s">
        <v>219</v>
      </c>
    </row>
    <row r="759" spans="1:7">
      <c r="A759" s="147">
        <v>2019</v>
      </c>
      <c r="B759" s="147" t="s">
        <v>245</v>
      </c>
      <c r="C759" s="148" t="s">
        <v>133</v>
      </c>
      <c r="D759" s="147" t="s">
        <v>66</v>
      </c>
      <c r="E759" s="147" t="s">
        <v>218</v>
      </c>
      <c r="F759" s="149">
        <v>1.186420381930841</v>
      </c>
      <c r="G759" s="148" t="s">
        <v>219</v>
      </c>
    </row>
    <row r="760" spans="1:7">
      <c r="A760" s="147">
        <v>2020</v>
      </c>
      <c r="B760" s="147" t="s">
        <v>245</v>
      </c>
      <c r="C760" s="148" t="s">
        <v>133</v>
      </c>
      <c r="D760" s="147" t="s">
        <v>66</v>
      </c>
      <c r="E760" s="147" t="s">
        <v>218</v>
      </c>
      <c r="F760" s="149">
        <v>0.43807625990832899</v>
      </c>
      <c r="G760" s="148" t="s">
        <v>219</v>
      </c>
    </row>
    <row r="761" spans="1:7">
      <c r="A761" s="147">
        <v>2021</v>
      </c>
      <c r="B761" s="147" t="s">
        <v>245</v>
      </c>
      <c r="C761" s="148" t="s">
        <v>133</v>
      </c>
      <c r="D761" s="147" t="s">
        <v>66</v>
      </c>
      <c r="E761" s="147" t="s">
        <v>218</v>
      </c>
      <c r="F761" s="149">
        <v>0.55761845614889194</v>
      </c>
      <c r="G761" s="148" t="s">
        <v>219</v>
      </c>
    </row>
    <row r="762" spans="1:7">
      <c r="A762" s="147">
        <v>2022</v>
      </c>
      <c r="B762" s="147" t="s">
        <v>245</v>
      </c>
      <c r="C762" s="148" t="s">
        <v>133</v>
      </c>
      <c r="D762" s="147" t="s">
        <v>66</v>
      </c>
      <c r="E762" s="147" t="s">
        <v>218</v>
      </c>
      <c r="F762" s="149">
        <v>1.251363750375853</v>
      </c>
      <c r="G762" s="148" t="s">
        <v>219</v>
      </c>
    </row>
    <row r="763" spans="1:7">
      <c r="A763" s="147" t="s">
        <v>185</v>
      </c>
      <c r="B763" s="147" t="s">
        <v>245</v>
      </c>
      <c r="C763" s="148" t="s">
        <v>133</v>
      </c>
      <c r="D763" s="147" t="s">
        <v>66</v>
      </c>
      <c r="E763" s="147" t="s">
        <v>218</v>
      </c>
      <c r="F763" s="149">
        <v>2.0362130477660356</v>
      </c>
      <c r="G763" s="148" t="s">
        <v>219</v>
      </c>
    </row>
    <row r="764" spans="1:7">
      <c r="A764" s="147" t="s">
        <v>107</v>
      </c>
      <c r="B764" s="147" t="s">
        <v>245</v>
      </c>
      <c r="C764" s="148" t="s">
        <v>133</v>
      </c>
      <c r="D764" s="147" t="s">
        <v>66</v>
      </c>
      <c r="E764" s="147" t="s">
        <v>218</v>
      </c>
      <c r="F764" s="149">
        <v>1.8674267386159606</v>
      </c>
      <c r="G764" s="148" t="s">
        <v>219</v>
      </c>
    </row>
    <row r="765" spans="1:7">
      <c r="A765" s="147">
        <v>2018</v>
      </c>
      <c r="B765" s="147" t="s">
        <v>245</v>
      </c>
      <c r="C765" s="148" t="s">
        <v>133</v>
      </c>
      <c r="D765" s="147" t="s">
        <v>61</v>
      </c>
      <c r="E765" s="147" t="s">
        <v>218</v>
      </c>
      <c r="F765" s="149">
        <v>9.909947137694056</v>
      </c>
      <c r="G765" s="148" t="s">
        <v>219</v>
      </c>
    </row>
    <row r="766" spans="1:7">
      <c r="A766" s="147">
        <v>2019</v>
      </c>
      <c r="B766" s="147" t="s">
        <v>245</v>
      </c>
      <c r="C766" s="148" t="s">
        <v>133</v>
      </c>
      <c r="D766" s="147" t="s">
        <v>61</v>
      </c>
      <c r="E766" s="147" t="s">
        <v>218</v>
      </c>
      <c r="F766" s="149">
        <v>11.534666881615767</v>
      </c>
      <c r="G766" s="148" t="s">
        <v>219</v>
      </c>
    </row>
    <row r="767" spans="1:7">
      <c r="A767" s="147">
        <v>2020</v>
      </c>
      <c r="B767" s="147" t="s">
        <v>245</v>
      </c>
      <c r="C767" s="148" t="s">
        <v>133</v>
      </c>
      <c r="D767" s="147" t="s">
        <v>61</v>
      </c>
      <c r="E767" s="147" t="s">
        <v>218</v>
      </c>
      <c r="F767" s="149">
        <v>9.2684826668532754</v>
      </c>
      <c r="G767" s="148" t="s">
        <v>219</v>
      </c>
    </row>
    <row r="768" spans="1:7">
      <c r="A768" s="147">
        <v>2021</v>
      </c>
      <c r="B768" s="147" t="s">
        <v>245</v>
      </c>
      <c r="C768" s="148" t="s">
        <v>133</v>
      </c>
      <c r="D768" s="147" t="s">
        <v>61</v>
      </c>
      <c r="E768" s="147" t="s">
        <v>218</v>
      </c>
      <c r="F768" s="149">
        <v>9.6955176114697839</v>
      </c>
      <c r="G768" s="148" t="s">
        <v>219</v>
      </c>
    </row>
    <row r="769" spans="1:7">
      <c r="A769" s="147">
        <v>2022</v>
      </c>
      <c r="B769" s="147" t="s">
        <v>245</v>
      </c>
      <c r="C769" s="148" t="s">
        <v>133</v>
      </c>
      <c r="D769" s="147" t="s">
        <v>61</v>
      </c>
      <c r="E769" s="147" t="s">
        <v>218</v>
      </c>
      <c r="F769" s="149">
        <v>8.3024023138079155</v>
      </c>
      <c r="G769" s="148" t="s">
        <v>219</v>
      </c>
    </row>
    <row r="770" spans="1:7">
      <c r="A770" s="147" t="s">
        <v>185</v>
      </c>
      <c r="B770" s="147" t="s">
        <v>245</v>
      </c>
      <c r="C770" s="148" t="s">
        <v>133</v>
      </c>
      <c r="D770" s="147" t="s">
        <v>61</v>
      </c>
      <c r="E770" s="147" t="s">
        <v>218</v>
      </c>
      <c r="F770" s="149">
        <v>11.193870135897816</v>
      </c>
      <c r="G770" s="148" t="s">
        <v>219</v>
      </c>
    </row>
    <row r="771" spans="1:7">
      <c r="A771" s="147" t="s">
        <v>107</v>
      </c>
      <c r="B771" s="147" t="s">
        <v>245</v>
      </c>
      <c r="C771" s="148" t="s">
        <v>133</v>
      </c>
      <c r="D771" s="147" t="s">
        <v>61</v>
      </c>
      <c r="E771" s="147" t="s">
        <v>218</v>
      </c>
      <c r="F771" s="149">
        <v>8.3411310809507135</v>
      </c>
      <c r="G771" s="148" t="s">
        <v>219</v>
      </c>
    </row>
    <row r="772" spans="1:7">
      <c r="A772" s="147">
        <v>2018</v>
      </c>
      <c r="B772" s="147" t="s">
        <v>246</v>
      </c>
      <c r="C772" s="148" t="s">
        <v>133</v>
      </c>
      <c r="D772" s="147" t="s">
        <v>221</v>
      </c>
      <c r="E772" s="147" t="s">
        <v>218</v>
      </c>
      <c r="F772" s="149">
        <v>197.30501610904477</v>
      </c>
      <c r="G772" s="148" t="s">
        <v>219</v>
      </c>
    </row>
    <row r="773" spans="1:7">
      <c r="A773" s="147">
        <v>2019</v>
      </c>
      <c r="B773" s="147" t="s">
        <v>246</v>
      </c>
      <c r="C773" s="148" t="s">
        <v>133</v>
      </c>
      <c r="D773" s="147" t="s">
        <v>221</v>
      </c>
      <c r="E773" s="147" t="s">
        <v>218</v>
      </c>
      <c r="F773" s="149">
        <v>212.66937157987732</v>
      </c>
      <c r="G773" s="148" t="s">
        <v>219</v>
      </c>
    </row>
    <row r="774" spans="1:7">
      <c r="A774" s="147">
        <v>2020</v>
      </c>
      <c r="B774" s="147" t="s">
        <v>246</v>
      </c>
      <c r="C774" s="148" t="s">
        <v>133</v>
      </c>
      <c r="D774" s="147" t="s">
        <v>221</v>
      </c>
      <c r="E774" s="147" t="s">
        <v>218</v>
      </c>
      <c r="F774" s="149">
        <v>242.57909119166848</v>
      </c>
      <c r="G774" s="148" t="s">
        <v>219</v>
      </c>
    </row>
    <row r="775" spans="1:7">
      <c r="A775" s="147">
        <v>2021</v>
      </c>
      <c r="B775" s="147" t="s">
        <v>246</v>
      </c>
      <c r="C775" s="148" t="s">
        <v>133</v>
      </c>
      <c r="D775" s="147" t="s">
        <v>221</v>
      </c>
      <c r="E775" s="147" t="s">
        <v>218</v>
      </c>
      <c r="F775" s="149">
        <v>264.01247969907075</v>
      </c>
      <c r="G775" s="148" t="s">
        <v>219</v>
      </c>
    </row>
    <row r="776" spans="1:7">
      <c r="A776" s="147">
        <v>2022</v>
      </c>
      <c r="B776" s="147" t="s">
        <v>246</v>
      </c>
      <c r="C776" s="148" t="s">
        <v>133</v>
      </c>
      <c r="D776" s="147" t="s">
        <v>221</v>
      </c>
      <c r="E776" s="147" t="s">
        <v>218</v>
      </c>
      <c r="F776" s="149">
        <v>253.83244967425665</v>
      </c>
      <c r="G776" s="148" t="s">
        <v>219</v>
      </c>
    </row>
    <row r="777" spans="1:7">
      <c r="A777" s="147" t="s">
        <v>185</v>
      </c>
      <c r="B777" s="147" t="s">
        <v>246</v>
      </c>
      <c r="C777" s="148" t="s">
        <v>133</v>
      </c>
      <c r="D777" s="147" t="s">
        <v>221</v>
      </c>
      <c r="E777" s="147" t="s">
        <v>218</v>
      </c>
      <c r="F777" s="149">
        <v>258.17135794389094</v>
      </c>
      <c r="G777" s="148" t="s">
        <v>219</v>
      </c>
    </row>
    <row r="778" spans="1:7">
      <c r="A778" s="147" t="s">
        <v>107</v>
      </c>
      <c r="B778" s="147" t="s">
        <v>246</v>
      </c>
      <c r="C778" s="148" t="s">
        <v>133</v>
      </c>
      <c r="D778" s="147" t="s">
        <v>221</v>
      </c>
      <c r="E778" s="147" t="s">
        <v>218</v>
      </c>
      <c r="F778" s="149">
        <v>263.21570114861839</v>
      </c>
      <c r="G778" s="148" t="s">
        <v>219</v>
      </c>
    </row>
    <row r="779" spans="1:7">
      <c r="A779" s="147">
        <v>2018</v>
      </c>
      <c r="B779" s="147" t="s">
        <v>247</v>
      </c>
      <c r="C779" s="148" t="s">
        <v>133</v>
      </c>
      <c r="D779" s="147" t="s">
        <v>148</v>
      </c>
      <c r="E779" s="147" t="s">
        <v>218</v>
      </c>
      <c r="F779" s="149">
        <v>729.56356266240232</v>
      </c>
      <c r="G779" s="148" t="s">
        <v>219</v>
      </c>
    </row>
    <row r="780" spans="1:7">
      <c r="A780" s="147">
        <v>2019</v>
      </c>
      <c r="B780" s="147" t="s">
        <v>247</v>
      </c>
      <c r="C780" s="148" t="s">
        <v>133</v>
      </c>
      <c r="D780" s="147" t="s">
        <v>148</v>
      </c>
      <c r="E780" s="147" t="s">
        <v>218</v>
      </c>
      <c r="F780" s="149">
        <v>761.94841312456219</v>
      </c>
      <c r="G780" s="148" t="s">
        <v>219</v>
      </c>
    </row>
    <row r="781" spans="1:7">
      <c r="A781" s="147">
        <v>2020</v>
      </c>
      <c r="B781" s="147" t="s">
        <v>247</v>
      </c>
      <c r="C781" s="148" t="s">
        <v>133</v>
      </c>
      <c r="D781" s="147" t="s">
        <v>148</v>
      </c>
      <c r="E781" s="147" t="s">
        <v>218</v>
      </c>
      <c r="F781" s="149">
        <v>699.24970014110284</v>
      </c>
      <c r="G781" s="148" t="s">
        <v>219</v>
      </c>
    </row>
    <row r="782" spans="1:7">
      <c r="A782" s="147">
        <v>2021</v>
      </c>
      <c r="B782" s="147" t="s">
        <v>247</v>
      </c>
      <c r="C782" s="148" t="s">
        <v>133</v>
      </c>
      <c r="D782" s="147" t="s">
        <v>148</v>
      </c>
      <c r="E782" s="147" t="s">
        <v>218</v>
      </c>
      <c r="F782" s="149">
        <v>798.00679473312687</v>
      </c>
      <c r="G782" s="148" t="s">
        <v>219</v>
      </c>
    </row>
    <row r="783" spans="1:7">
      <c r="A783" s="147">
        <v>2022</v>
      </c>
      <c r="B783" s="147" t="s">
        <v>247</v>
      </c>
      <c r="C783" s="148" t="s">
        <v>133</v>
      </c>
      <c r="D783" s="147" t="s">
        <v>148</v>
      </c>
      <c r="E783" s="147" t="s">
        <v>218</v>
      </c>
      <c r="F783" s="149">
        <v>866.41917257383932</v>
      </c>
      <c r="G783" s="148" t="s">
        <v>219</v>
      </c>
    </row>
    <row r="784" spans="1:7">
      <c r="A784" s="147" t="s">
        <v>185</v>
      </c>
      <c r="B784" s="147" t="s">
        <v>247</v>
      </c>
      <c r="C784" s="148" t="s">
        <v>133</v>
      </c>
      <c r="D784" s="147" t="s">
        <v>148</v>
      </c>
      <c r="E784" s="147" t="s">
        <v>218</v>
      </c>
      <c r="F784" s="149">
        <v>874.89349452959345</v>
      </c>
      <c r="G784" s="148" t="s">
        <v>219</v>
      </c>
    </row>
    <row r="785" spans="1:7">
      <c r="A785" s="147" t="s">
        <v>107</v>
      </c>
      <c r="B785" s="147" t="s">
        <v>247</v>
      </c>
      <c r="C785" s="148" t="s">
        <v>133</v>
      </c>
      <c r="D785" s="147" t="s">
        <v>148</v>
      </c>
      <c r="E785" s="147" t="s">
        <v>218</v>
      </c>
      <c r="F785" s="149">
        <v>992.66498474145988</v>
      </c>
      <c r="G785" s="148" t="s">
        <v>219</v>
      </c>
    </row>
    <row r="786" spans="1:7">
      <c r="A786" s="147">
        <v>2018</v>
      </c>
      <c r="B786" s="147" t="s">
        <v>248</v>
      </c>
      <c r="C786" s="148" t="s">
        <v>133</v>
      </c>
      <c r="D786" s="147" t="s">
        <v>149</v>
      </c>
      <c r="E786" s="147" t="s">
        <v>218</v>
      </c>
      <c r="F786" s="149">
        <v>45.689650026615276</v>
      </c>
      <c r="G786" s="148" t="s">
        <v>219</v>
      </c>
    </row>
    <row r="787" spans="1:7">
      <c r="A787" s="147">
        <v>2019</v>
      </c>
      <c r="B787" s="147" t="s">
        <v>248</v>
      </c>
      <c r="C787" s="148" t="s">
        <v>133</v>
      </c>
      <c r="D787" s="147" t="s">
        <v>149</v>
      </c>
      <c r="E787" s="147" t="s">
        <v>218</v>
      </c>
      <c r="F787" s="149">
        <v>45.091469858853401</v>
      </c>
      <c r="G787" s="148" t="s">
        <v>219</v>
      </c>
    </row>
    <row r="788" spans="1:7">
      <c r="A788" s="147">
        <v>2020</v>
      </c>
      <c r="B788" s="147" t="s">
        <v>248</v>
      </c>
      <c r="C788" s="148" t="s">
        <v>133</v>
      </c>
      <c r="D788" s="147" t="s">
        <v>149</v>
      </c>
      <c r="E788" s="147" t="s">
        <v>218</v>
      </c>
      <c r="F788" s="149">
        <v>29.989281129764546</v>
      </c>
      <c r="G788" s="148" t="s">
        <v>219</v>
      </c>
    </row>
    <row r="789" spans="1:7">
      <c r="A789" s="147">
        <v>2021</v>
      </c>
      <c r="B789" s="147" t="s">
        <v>248</v>
      </c>
      <c r="C789" s="148" t="s">
        <v>133</v>
      </c>
      <c r="D789" s="147" t="s">
        <v>149</v>
      </c>
      <c r="E789" s="147" t="s">
        <v>218</v>
      </c>
      <c r="F789" s="149">
        <v>35.655360061946439</v>
      </c>
      <c r="G789" s="148" t="s">
        <v>219</v>
      </c>
    </row>
    <row r="790" spans="1:7">
      <c r="A790" s="147">
        <v>2022</v>
      </c>
      <c r="B790" s="147" t="s">
        <v>248</v>
      </c>
      <c r="C790" s="148" t="s">
        <v>133</v>
      </c>
      <c r="D790" s="147" t="s">
        <v>149</v>
      </c>
      <c r="E790" s="147" t="s">
        <v>218</v>
      </c>
      <c r="F790" s="149">
        <v>40.501860425786965</v>
      </c>
      <c r="G790" s="148" t="s">
        <v>219</v>
      </c>
    </row>
    <row r="791" spans="1:7">
      <c r="A791" s="147" t="s">
        <v>185</v>
      </c>
      <c r="B791" s="147" t="s">
        <v>248</v>
      </c>
      <c r="C791" s="148" t="s">
        <v>133</v>
      </c>
      <c r="D791" s="147" t="s">
        <v>149</v>
      </c>
      <c r="E791" s="147" t="s">
        <v>218</v>
      </c>
      <c r="F791" s="149">
        <v>42.581518609012591</v>
      </c>
      <c r="G791" s="148" t="s">
        <v>219</v>
      </c>
    </row>
    <row r="792" spans="1:7">
      <c r="A792" s="147" t="s">
        <v>107</v>
      </c>
      <c r="B792" s="147" t="s">
        <v>248</v>
      </c>
      <c r="C792" s="148" t="s">
        <v>133</v>
      </c>
      <c r="D792" s="147" t="s">
        <v>149</v>
      </c>
      <c r="E792" s="147" t="s">
        <v>218</v>
      </c>
      <c r="F792" s="149">
        <v>44.641034662022875</v>
      </c>
      <c r="G792" s="148" t="s">
        <v>219</v>
      </c>
    </row>
    <row r="793" spans="1:7">
      <c r="A793" s="147">
        <v>2018</v>
      </c>
      <c r="B793" s="147" t="s">
        <v>249</v>
      </c>
      <c r="C793" s="148" t="s">
        <v>133</v>
      </c>
      <c r="D793" s="147" t="s">
        <v>136</v>
      </c>
      <c r="E793" s="147" t="s">
        <v>218</v>
      </c>
      <c r="F793" s="149">
        <v>775.25321268901757</v>
      </c>
      <c r="G793" s="148" t="s">
        <v>219</v>
      </c>
    </row>
    <row r="794" spans="1:7">
      <c r="A794" s="147">
        <v>2019</v>
      </c>
      <c r="B794" s="147" t="s">
        <v>249</v>
      </c>
      <c r="C794" s="148" t="s">
        <v>133</v>
      </c>
      <c r="D794" s="147" t="s">
        <v>136</v>
      </c>
      <c r="E794" s="147" t="s">
        <v>218</v>
      </c>
      <c r="F794" s="149">
        <v>807.03988298341574</v>
      </c>
      <c r="G794" s="148" t="s">
        <v>219</v>
      </c>
    </row>
    <row r="795" spans="1:7">
      <c r="A795" s="147">
        <v>2020</v>
      </c>
      <c r="B795" s="147" t="s">
        <v>249</v>
      </c>
      <c r="C795" s="148" t="s">
        <v>133</v>
      </c>
      <c r="D795" s="147" t="s">
        <v>136</v>
      </c>
      <c r="E795" s="147" t="s">
        <v>218</v>
      </c>
      <c r="F795" s="149">
        <v>729.79025367602492</v>
      </c>
      <c r="G795" s="148" t="s">
        <v>219</v>
      </c>
    </row>
    <row r="796" spans="1:7">
      <c r="A796" s="147">
        <v>2021</v>
      </c>
      <c r="B796" s="147" t="s">
        <v>249</v>
      </c>
      <c r="C796" s="148" t="s">
        <v>133</v>
      </c>
      <c r="D796" s="147" t="s">
        <v>136</v>
      </c>
      <c r="E796" s="147" t="s">
        <v>218</v>
      </c>
      <c r="F796" s="149">
        <v>834.2393636241269</v>
      </c>
      <c r="G796" s="148" t="s">
        <v>219</v>
      </c>
    </row>
    <row r="797" spans="1:7">
      <c r="A797" s="147">
        <v>2022</v>
      </c>
      <c r="B797" s="147" t="s">
        <v>249</v>
      </c>
      <c r="C797" s="148" t="s">
        <v>133</v>
      </c>
      <c r="D797" s="147" t="s">
        <v>136</v>
      </c>
      <c r="E797" s="147" t="s">
        <v>218</v>
      </c>
      <c r="F797" s="149">
        <v>907.51349457873107</v>
      </c>
      <c r="G797" s="148" t="s">
        <v>219</v>
      </c>
    </row>
    <row r="798" spans="1:7">
      <c r="A798" s="147" t="s">
        <v>185</v>
      </c>
      <c r="B798" s="147" t="s">
        <v>249</v>
      </c>
      <c r="C798" s="148" t="s">
        <v>133</v>
      </c>
      <c r="D798" s="147" t="s">
        <v>136</v>
      </c>
      <c r="E798" s="147" t="s">
        <v>218</v>
      </c>
      <c r="F798" s="149">
        <v>918.09256048577367</v>
      </c>
      <c r="G798" s="148" t="s">
        <v>219</v>
      </c>
    </row>
    <row r="799" spans="1:7">
      <c r="A799" s="147" t="s">
        <v>107</v>
      </c>
      <c r="B799" s="147" t="s">
        <v>249</v>
      </c>
      <c r="C799" s="148" t="s">
        <v>133</v>
      </c>
      <c r="D799" s="147" t="s">
        <v>136</v>
      </c>
      <c r="E799" s="147" t="s">
        <v>218</v>
      </c>
      <c r="F799" s="149">
        <v>1038.2645663114329</v>
      </c>
      <c r="G799" s="148" t="s">
        <v>219</v>
      </c>
    </row>
    <row r="800" spans="1:7">
      <c r="A800" s="147">
        <v>2018</v>
      </c>
      <c r="B800" s="147" t="s">
        <v>250</v>
      </c>
      <c r="C800" s="148" t="s">
        <v>133</v>
      </c>
      <c r="D800" s="147" t="s">
        <v>0</v>
      </c>
      <c r="E800" s="147" t="s">
        <v>218</v>
      </c>
      <c r="F800" s="149">
        <v>174.95464688676935</v>
      </c>
      <c r="G800" s="148" t="s">
        <v>219</v>
      </c>
    </row>
    <row r="801" spans="1:7">
      <c r="A801" s="147">
        <v>2019</v>
      </c>
      <c r="B801" s="147" t="s">
        <v>250</v>
      </c>
      <c r="C801" s="148" t="s">
        <v>133</v>
      </c>
      <c r="D801" s="147" t="s">
        <v>0</v>
      </c>
      <c r="E801" s="147" t="s">
        <v>218</v>
      </c>
      <c r="F801" s="149">
        <v>183.31014845814133</v>
      </c>
      <c r="G801" s="148" t="s">
        <v>219</v>
      </c>
    </row>
    <row r="802" spans="1:7">
      <c r="A802" s="147">
        <v>2020</v>
      </c>
      <c r="B802" s="147" t="s">
        <v>250</v>
      </c>
      <c r="C802" s="148" t="s">
        <v>133</v>
      </c>
      <c r="D802" s="147" t="s">
        <v>0</v>
      </c>
      <c r="E802" s="147" t="s">
        <v>218</v>
      </c>
      <c r="F802" s="149">
        <v>194.42394831903849</v>
      </c>
      <c r="G802" s="148" t="s">
        <v>219</v>
      </c>
    </row>
    <row r="803" spans="1:7">
      <c r="A803" s="147">
        <v>2021</v>
      </c>
      <c r="B803" s="147" t="s">
        <v>250</v>
      </c>
      <c r="C803" s="148" t="s">
        <v>133</v>
      </c>
      <c r="D803" s="147" t="s">
        <v>0</v>
      </c>
      <c r="E803" s="147" t="s">
        <v>218</v>
      </c>
      <c r="F803" s="149">
        <v>214.01280006848421</v>
      </c>
      <c r="G803" s="148" t="s">
        <v>219</v>
      </c>
    </row>
    <row r="804" spans="1:7">
      <c r="A804" s="147">
        <v>2022</v>
      </c>
      <c r="B804" s="147" t="s">
        <v>250</v>
      </c>
      <c r="C804" s="148" t="s">
        <v>133</v>
      </c>
      <c r="D804" s="147" t="s">
        <v>0</v>
      </c>
      <c r="E804" s="147" t="s">
        <v>218</v>
      </c>
      <c r="F804" s="149">
        <v>212.65039174367953</v>
      </c>
      <c r="G804" s="148" t="s">
        <v>219</v>
      </c>
    </row>
    <row r="805" spans="1:7">
      <c r="A805" s="147" t="s">
        <v>185</v>
      </c>
      <c r="B805" s="147" t="s">
        <v>250</v>
      </c>
      <c r="C805" s="148" t="s">
        <v>133</v>
      </c>
      <c r="D805" s="147" t="s">
        <v>0</v>
      </c>
      <c r="E805" s="147" t="s">
        <v>218</v>
      </c>
      <c r="F805" s="149">
        <v>219.82900432921269</v>
      </c>
      <c r="G805" s="148" t="s">
        <v>219</v>
      </c>
    </row>
    <row r="806" spans="1:7">
      <c r="A806" s="147" t="s">
        <v>107</v>
      </c>
      <c r="B806" s="147" t="s">
        <v>250</v>
      </c>
      <c r="C806" s="148" t="s">
        <v>133</v>
      </c>
      <c r="D806" s="147" t="s">
        <v>0</v>
      </c>
      <c r="E806" s="147" t="s">
        <v>218</v>
      </c>
      <c r="F806" s="149">
        <v>227.65117220223644</v>
      </c>
      <c r="G806" s="148" t="s">
        <v>219</v>
      </c>
    </row>
    <row r="807" spans="1:7">
      <c r="A807" s="147">
        <v>2018</v>
      </c>
      <c r="B807" s="147" t="s">
        <v>250</v>
      </c>
      <c r="C807" s="148" t="s">
        <v>133</v>
      </c>
      <c r="D807" s="147" t="s">
        <v>1</v>
      </c>
      <c r="E807" s="147" t="s">
        <v>218</v>
      </c>
      <c r="F807" s="149">
        <v>8.0422886036450372</v>
      </c>
      <c r="G807" s="148" t="s">
        <v>219</v>
      </c>
    </row>
    <row r="808" spans="1:7">
      <c r="A808" s="147">
        <v>2019</v>
      </c>
      <c r="B808" s="147" t="s">
        <v>250</v>
      </c>
      <c r="C808" s="148" t="s">
        <v>133</v>
      </c>
      <c r="D808" s="147" t="s">
        <v>1</v>
      </c>
      <c r="E808" s="147" t="s">
        <v>218</v>
      </c>
      <c r="F808" s="149">
        <v>18.640399792761357</v>
      </c>
      <c r="G808" s="148" t="s">
        <v>219</v>
      </c>
    </row>
    <row r="809" spans="1:7">
      <c r="A809" s="147">
        <v>2020</v>
      </c>
      <c r="B809" s="147" t="s">
        <v>250</v>
      </c>
      <c r="C809" s="148" t="s">
        <v>133</v>
      </c>
      <c r="D809" s="147" t="s">
        <v>1</v>
      </c>
      <c r="E809" s="147" t="s">
        <v>218</v>
      </c>
      <c r="F809" s="149">
        <v>9.5767805945872517</v>
      </c>
      <c r="G809" s="148" t="s">
        <v>219</v>
      </c>
    </row>
    <row r="810" spans="1:7">
      <c r="A810" s="147">
        <v>2021</v>
      </c>
      <c r="B810" s="147" t="s">
        <v>250</v>
      </c>
      <c r="C810" s="148" t="s">
        <v>133</v>
      </c>
      <c r="D810" s="147" t="s">
        <v>1</v>
      </c>
      <c r="E810" s="147" t="s">
        <v>218</v>
      </c>
      <c r="F810" s="149">
        <v>13.781728628204911</v>
      </c>
      <c r="G810" s="148" t="s">
        <v>219</v>
      </c>
    </row>
    <row r="811" spans="1:7">
      <c r="A811" s="147">
        <v>2022</v>
      </c>
      <c r="B811" s="147" t="s">
        <v>250</v>
      </c>
      <c r="C811" s="148" t="s">
        <v>133</v>
      </c>
      <c r="D811" s="147" t="s">
        <v>1</v>
      </c>
      <c r="E811" s="147" t="s">
        <v>218</v>
      </c>
      <c r="F811" s="149">
        <v>18.27685219119244</v>
      </c>
      <c r="G811" s="148" t="s">
        <v>219</v>
      </c>
    </row>
    <row r="812" spans="1:7">
      <c r="A812" s="147" t="s">
        <v>185</v>
      </c>
      <c r="B812" s="147" t="s">
        <v>250</v>
      </c>
      <c r="C812" s="148" t="s">
        <v>133</v>
      </c>
      <c r="D812" s="147" t="s">
        <v>1</v>
      </c>
      <c r="E812" s="147" t="s">
        <v>218</v>
      </c>
      <c r="F812" s="149">
        <v>17.010069460354359</v>
      </c>
      <c r="G812" s="148" t="s">
        <v>219</v>
      </c>
    </row>
    <row r="813" spans="1:7">
      <c r="A813" s="147" t="s">
        <v>107</v>
      </c>
      <c r="B813" s="147" t="s">
        <v>250</v>
      </c>
      <c r="C813" s="148" t="s">
        <v>133</v>
      </c>
      <c r="D813" s="147" t="s">
        <v>1</v>
      </c>
      <c r="E813" s="147" t="s">
        <v>218</v>
      </c>
      <c r="F813" s="149">
        <v>32.439680600443687</v>
      </c>
      <c r="G813" s="148" t="s">
        <v>219</v>
      </c>
    </row>
    <row r="814" spans="1:7">
      <c r="A814" s="147">
        <v>2018</v>
      </c>
      <c r="B814" s="147" t="s">
        <v>250</v>
      </c>
      <c r="C814" s="148" t="s">
        <v>133</v>
      </c>
      <c r="D814" s="147" t="s">
        <v>2</v>
      </c>
      <c r="E814" s="147" t="s">
        <v>218</v>
      </c>
      <c r="F814" s="149">
        <v>15.133024299880073</v>
      </c>
      <c r="G814" s="148" t="s">
        <v>219</v>
      </c>
    </row>
    <row r="815" spans="1:7">
      <c r="A815" s="147">
        <v>2019</v>
      </c>
      <c r="B815" s="147" t="s">
        <v>250</v>
      </c>
      <c r="C815" s="148" t="s">
        <v>133</v>
      </c>
      <c r="D815" s="147" t="s">
        <v>2</v>
      </c>
      <c r="E815" s="147" t="s">
        <v>218</v>
      </c>
      <c r="F815" s="149">
        <v>14.130986142352683</v>
      </c>
      <c r="G815" s="148" t="s">
        <v>219</v>
      </c>
    </row>
    <row r="816" spans="1:7">
      <c r="A816" s="147">
        <v>2020</v>
      </c>
      <c r="B816" s="147" t="s">
        <v>250</v>
      </c>
      <c r="C816" s="148" t="s">
        <v>133</v>
      </c>
      <c r="D816" s="147" t="s">
        <v>2</v>
      </c>
      <c r="E816" s="147" t="s">
        <v>218</v>
      </c>
      <c r="F816" s="149">
        <v>11.125438453789709</v>
      </c>
      <c r="G816" s="148" t="s">
        <v>219</v>
      </c>
    </row>
    <row r="817" spans="1:7">
      <c r="A817" s="147">
        <v>2021</v>
      </c>
      <c r="B817" s="147" t="s">
        <v>250</v>
      </c>
      <c r="C817" s="148" t="s">
        <v>133</v>
      </c>
      <c r="D817" s="147" t="s">
        <v>2</v>
      </c>
      <c r="E817" s="147" t="s">
        <v>218</v>
      </c>
      <c r="F817" s="149">
        <v>9.1512682354041974</v>
      </c>
      <c r="G817" s="148" t="s">
        <v>219</v>
      </c>
    </row>
    <row r="818" spans="1:7">
      <c r="A818" s="147">
        <v>2022</v>
      </c>
      <c r="B818" s="147" t="s">
        <v>250</v>
      </c>
      <c r="C818" s="148" t="s">
        <v>133</v>
      </c>
      <c r="D818" s="147" t="s">
        <v>2</v>
      </c>
      <c r="E818" s="147" t="s">
        <v>218</v>
      </c>
      <c r="F818" s="149">
        <v>12.028558347739699</v>
      </c>
      <c r="G818" s="148" t="s">
        <v>219</v>
      </c>
    </row>
    <row r="819" spans="1:7">
      <c r="A819" s="147" t="s">
        <v>185</v>
      </c>
      <c r="B819" s="147" t="s">
        <v>250</v>
      </c>
      <c r="C819" s="148" t="s">
        <v>133</v>
      </c>
      <c r="D819" s="147" t="s">
        <v>2</v>
      </c>
      <c r="E819" s="147" t="s">
        <v>218</v>
      </c>
      <c r="F819" s="149">
        <v>13.998296202472854</v>
      </c>
      <c r="G819" s="148" t="s">
        <v>219</v>
      </c>
    </row>
    <row r="820" spans="1:7">
      <c r="A820" s="147" t="s">
        <v>107</v>
      </c>
      <c r="B820" s="147" t="s">
        <v>250</v>
      </c>
      <c r="C820" s="148" t="s">
        <v>133</v>
      </c>
      <c r="D820" s="147" t="s">
        <v>2</v>
      </c>
      <c r="E820" s="147" t="s">
        <v>218</v>
      </c>
      <c r="F820" s="149">
        <v>15.902068998042777</v>
      </c>
      <c r="G820" s="148" t="s">
        <v>219</v>
      </c>
    </row>
    <row r="821" spans="1:7">
      <c r="A821" s="147">
        <v>2018</v>
      </c>
      <c r="B821" s="147" t="s">
        <v>250</v>
      </c>
      <c r="C821" s="148" t="s">
        <v>133</v>
      </c>
      <c r="D821" s="147" t="s">
        <v>68</v>
      </c>
      <c r="E821" s="147" t="s">
        <v>218</v>
      </c>
      <c r="F821" s="149">
        <v>11.874404732248184</v>
      </c>
      <c r="G821" s="148" t="s">
        <v>219</v>
      </c>
    </row>
    <row r="822" spans="1:7">
      <c r="A822" s="147">
        <v>2019</v>
      </c>
      <c r="B822" s="147" t="s">
        <v>250</v>
      </c>
      <c r="C822" s="148" t="s">
        <v>133</v>
      </c>
      <c r="D822" s="147" t="s">
        <v>68</v>
      </c>
      <c r="E822" s="147" t="s">
        <v>218</v>
      </c>
      <c r="F822" s="149">
        <v>12.303735276602092</v>
      </c>
      <c r="G822" s="148" t="s">
        <v>219</v>
      </c>
    </row>
    <row r="823" spans="1:7">
      <c r="A823" s="147">
        <v>2020</v>
      </c>
      <c r="B823" s="147" t="s">
        <v>250</v>
      </c>
      <c r="C823" s="148" t="s">
        <v>133</v>
      </c>
      <c r="D823" s="147" t="s">
        <v>68</v>
      </c>
      <c r="E823" s="147" t="s">
        <v>218</v>
      </c>
      <c r="F823" s="149">
        <v>13.433976845531486</v>
      </c>
      <c r="G823" s="148" t="s">
        <v>219</v>
      </c>
    </row>
    <row r="824" spans="1:7">
      <c r="A824" s="147">
        <v>2021</v>
      </c>
      <c r="B824" s="147" t="s">
        <v>250</v>
      </c>
      <c r="C824" s="148" t="s">
        <v>133</v>
      </c>
      <c r="D824" s="147" t="s">
        <v>68</v>
      </c>
      <c r="E824" s="147" t="s">
        <v>218</v>
      </c>
      <c r="F824" s="149">
        <v>13.559984078909652</v>
      </c>
      <c r="G824" s="148" t="s">
        <v>219</v>
      </c>
    </row>
    <row r="825" spans="1:7">
      <c r="A825" s="147">
        <v>2022</v>
      </c>
      <c r="B825" s="147" t="s">
        <v>250</v>
      </c>
      <c r="C825" s="148" t="s">
        <v>133</v>
      </c>
      <c r="D825" s="147" t="s">
        <v>68</v>
      </c>
      <c r="E825" s="147" t="s">
        <v>218</v>
      </c>
      <c r="F825" s="149">
        <v>14.722126427482612</v>
      </c>
      <c r="G825" s="148" t="s">
        <v>219</v>
      </c>
    </row>
    <row r="826" spans="1:7">
      <c r="A826" s="147" t="s">
        <v>185</v>
      </c>
      <c r="B826" s="147" t="s">
        <v>250</v>
      </c>
      <c r="C826" s="148" t="s">
        <v>133</v>
      </c>
      <c r="D826" s="147" t="s">
        <v>68</v>
      </c>
      <c r="E826" s="147" t="s">
        <v>218</v>
      </c>
      <c r="F826" s="149">
        <v>14.849519422047754</v>
      </c>
      <c r="G826" s="148" t="s">
        <v>219</v>
      </c>
    </row>
    <row r="827" spans="1:7">
      <c r="A827" s="147" t="s">
        <v>107</v>
      </c>
      <c r="B827" s="147" t="s">
        <v>250</v>
      </c>
      <c r="C827" s="148" t="s">
        <v>133</v>
      </c>
      <c r="D827" s="147" t="s">
        <v>68</v>
      </c>
      <c r="E827" s="147" t="s">
        <v>218</v>
      </c>
      <c r="F827" s="149">
        <v>14.338867780323172</v>
      </c>
      <c r="G827" s="148" t="s">
        <v>219</v>
      </c>
    </row>
    <row r="828" spans="1:7">
      <c r="A828" s="147">
        <v>2018</v>
      </c>
      <c r="B828" s="147" t="s">
        <v>250</v>
      </c>
      <c r="C828" s="148" t="s">
        <v>133</v>
      </c>
      <c r="D828" s="147" t="s">
        <v>4</v>
      </c>
      <c r="E828" s="147" t="s">
        <v>218</v>
      </c>
      <c r="F828" s="149">
        <v>92.324269100129925</v>
      </c>
      <c r="G828" s="148" t="s">
        <v>219</v>
      </c>
    </row>
    <row r="829" spans="1:7">
      <c r="A829" s="147">
        <v>2019</v>
      </c>
      <c r="B829" s="147" t="s">
        <v>250</v>
      </c>
      <c r="C829" s="148" t="s">
        <v>133</v>
      </c>
      <c r="D829" s="147" t="s">
        <v>4</v>
      </c>
      <c r="E829" s="147" t="s">
        <v>218</v>
      </c>
      <c r="F829" s="149">
        <v>217.868088800919</v>
      </c>
      <c r="G829" s="148" t="s">
        <v>219</v>
      </c>
    </row>
    <row r="830" spans="1:7">
      <c r="A830" s="147">
        <v>2020</v>
      </c>
      <c r="B830" s="147" t="s">
        <v>250</v>
      </c>
      <c r="C830" s="148" t="s">
        <v>133</v>
      </c>
      <c r="D830" s="147" t="s">
        <v>4</v>
      </c>
      <c r="E830" s="147" t="s">
        <v>218</v>
      </c>
      <c r="F830" s="149">
        <v>114.08012278204853</v>
      </c>
      <c r="G830" s="148" t="s">
        <v>219</v>
      </c>
    </row>
    <row r="831" spans="1:7">
      <c r="A831" s="147">
        <v>2021</v>
      </c>
      <c r="B831" s="147" t="s">
        <v>250</v>
      </c>
      <c r="C831" s="148" t="s">
        <v>133</v>
      </c>
      <c r="D831" s="147" t="s">
        <v>4</v>
      </c>
      <c r="E831" s="147" t="s">
        <v>218</v>
      </c>
      <c r="F831" s="149">
        <v>157.12586032663415</v>
      </c>
      <c r="G831" s="148" t="s">
        <v>219</v>
      </c>
    </row>
    <row r="832" spans="1:7">
      <c r="A832" s="147">
        <v>2022</v>
      </c>
      <c r="B832" s="147" t="s">
        <v>250</v>
      </c>
      <c r="C832" s="148" t="s">
        <v>133</v>
      </c>
      <c r="D832" s="147" t="s">
        <v>4</v>
      </c>
      <c r="E832" s="147" t="s">
        <v>218</v>
      </c>
      <c r="F832" s="149">
        <v>197.66061486820499</v>
      </c>
      <c r="G832" s="148" t="s">
        <v>219</v>
      </c>
    </row>
    <row r="833" spans="1:7">
      <c r="A833" s="147" t="s">
        <v>185</v>
      </c>
      <c r="B833" s="147" t="s">
        <v>250</v>
      </c>
      <c r="C833" s="148" t="s">
        <v>133</v>
      </c>
      <c r="D833" s="147" t="s">
        <v>4</v>
      </c>
      <c r="E833" s="147" t="s">
        <v>218</v>
      </c>
      <c r="F833" s="149">
        <v>181.93863962347078</v>
      </c>
      <c r="G833" s="148" t="s">
        <v>219</v>
      </c>
    </row>
    <row r="834" spans="1:7">
      <c r="A834" s="147" t="s">
        <v>107</v>
      </c>
      <c r="B834" s="147" t="s">
        <v>250</v>
      </c>
      <c r="C834" s="148" t="s">
        <v>133</v>
      </c>
      <c r="D834" s="147" t="s">
        <v>4</v>
      </c>
      <c r="E834" s="147" t="s">
        <v>218</v>
      </c>
      <c r="F834" s="149">
        <v>245.97340834171035</v>
      </c>
      <c r="G834" s="148" t="s">
        <v>219</v>
      </c>
    </row>
    <row r="835" spans="1:7">
      <c r="A835" s="147">
        <v>2018</v>
      </c>
      <c r="B835" s="147" t="s">
        <v>250</v>
      </c>
      <c r="C835" s="148" t="s">
        <v>133</v>
      </c>
      <c r="D835" s="147" t="s">
        <v>5</v>
      </c>
      <c r="E835" s="147" t="s">
        <v>218</v>
      </c>
      <c r="F835" s="149">
        <v>23.757451490606645</v>
      </c>
      <c r="G835" s="148" t="s">
        <v>219</v>
      </c>
    </row>
    <row r="836" spans="1:7">
      <c r="A836" s="147">
        <v>2019</v>
      </c>
      <c r="B836" s="147" t="s">
        <v>250</v>
      </c>
      <c r="C836" s="148" t="s">
        <v>133</v>
      </c>
      <c r="D836" s="147" t="s">
        <v>5</v>
      </c>
      <c r="E836" s="147" t="s">
        <v>218</v>
      </c>
      <c r="F836" s="149">
        <v>23.648631170062394</v>
      </c>
      <c r="G836" s="148" t="s">
        <v>219</v>
      </c>
    </row>
    <row r="837" spans="1:7">
      <c r="A837" s="147">
        <v>2020</v>
      </c>
      <c r="B837" s="147" t="s">
        <v>250</v>
      </c>
      <c r="C837" s="148" t="s">
        <v>133</v>
      </c>
      <c r="D837" s="147" t="s">
        <v>5</v>
      </c>
      <c r="E837" s="147" t="s">
        <v>218</v>
      </c>
      <c r="F837" s="149">
        <v>15.447668362799138</v>
      </c>
      <c r="G837" s="148" t="s">
        <v>219</v>
      </c>
    </row>
    <row r="838" spans="1:7">
      <c r="A838" s="147">
        <v>2021</v>
      </c>
      <c r="B838" s="147" t="s">
        <v>250</v>
      </c>
      <c r="C838" s="148" t="s">
        <v>133</v>
      </c>
      <c r="D838" s="147" t="s">
        <v>5</v>
      </c>
      <c r="E838" s="147" t="s">
        <v>218</v>
      </c>
      <c r="F838" s="149">
        <v>20.413316843963511</v>
      </c>
      <c r="G838" s="148" t="s">
        <v>219</v>
      </c>
    </row>
    <row r="839" spans="1:7">
      <c r="A839" s="147">
        <v>2022</v>
      </c>
      <c r="B839" s="147" t="s">
        <v>250</v>
      </c>
      <c r="C839" s="148" t="s">
        <v>133</v>
      </c>
      <c r="D839" s="147" t="s">
        <v>5</v>
      </c>
      <c r="E839" s="147" t="s">
        <v>218</v>
      </c>
      <c r="F839" s="149">
        <v>18.573210953735611</v>
      </c>
      <c r="G839" s="148" t="s">
        <v>219</v>
      </c>
    </row>
    <row r="840" spans="1:7">
      <c r="A840" s="147" t="s">
        <v>185</v>
      </c>
      <c r="B840" s="147" t="s">
        <v>250</v>
      </c>
      <c r="C840" s="148" t="s">
        <v>133</v>
      </c>
      <c r="D840" s="147" t="s">
        <v>5</v>
      </c>
      <c r="E840" s="147" t="s">
        <v>218</v>
      </c>
      <c r="F840" s="149">
        <v>16.147896705167586</v>
      </c>
      <c r="G840" s="148" t="s">
        <v>219</v>
      </c>
    </row>
    <row r="841" spans="1:7">
      <c r="A841" s="147" t="s">
        <v>107</v>
      </c>
      <c r="B841" s="147" t="s">
        <v>250</v>
      </c>
      <c r="C841" s="148" t="s">
        <v>133</v>
      </c>
      <c r="D841" s="147" t="s">
        <v>5</v>
      </c>
      <c r="E841" s="147" t="s">
        <v>218</v>
      </c>
      <c r="F841" s="149">
        <v>16.491435109478225</v>
      </c>
      <c r="G841" s="148" t="s">
        <v>219</v>
      </c>
    </row>
    <row r="842" spans="1:7">
      <c r="A842" s="147">
        <v>2018</v>
      </c>
      <c r="B842" s="147" t="s">
        <v>250</v>
      </c>
      <c r="C842" s="148" t="s">
        <v>133</v>
      </c>
      <c r="D842" s="147" t="s">
        <v>6</v>
      </c>
      <c r="E842" s="147" t="s">
        <v>218</v>
      </c>
      <c r="F842" s="149">
        <v>34.73160219266579</v>
      </c>
      <c r="G842" s="148" t="s">
        <v>219</v>
      </c>
    </row>
    <row r="843" spans="1:7">
      <c r="A843" s="147">
        <v>2019</v>
      </c>
      <c r="B843" s="147" t="s">
        <v>250</v>
      </c>
      <c r="C843" s="148" t="s">
        <v>133</v>
      </c>
      <c r="D843" s="147" t="s">
        <v>6</v>
      </c>
      <c r="E843" s="147" t="s">
        <v>218</v>
      </c>
      <c r="F843" s="149">
        <v>35.22199538342462</v>
      </c>
      <c r="G843" s="148" t="s">
        <v>219</v>
      </c>
    </row>
    <row r="844" spans="1:7">
      <c r="A844" s="147">
        <v>2020</v>
      </c>
      <c r="B844" s="147" t="s">
        <v>250</v>
      </c>
      <c r="C844" s="148" t="s">
        <v>133</v>
      </c>
      <c r="D844" s="147" t="s">
        <v>6</v>
      </c>
      <c r="E844" s="147" t="s">
        <v>218</v>
      </c>
      <c r="F844" s="149">
        <v>23.038221191580529</v>
      </c>
      <c r="G844" s="148" t="s">
        <v>219</v>
      </c>
    </row>
    <row r="845" spans="1:7">
      <c r="A845" s="147">
        <v>2021</v>
      </c>
      <c r="B845" s="147" t="s">
        <v>250</v>
      </c>
      <c r="C845" s="148" t="s">
        <v>133</v>
      </c>
      <c r="D845" s="147" t="s">
        <v>6</v>
      </c>
      <c r="E845" s="147" t="s">
        <v>218</v>
      </c>
      <c r="F845" s="149">
        <v>30.138632912981461</v>
      </c>
      <c r="G845" s="148" t="s">
        <v>219</v>
      </c>
    </row>
    <row r="846" spans="1:7">
      <c r="A846" s="147">
        <v>2022</v>
      </c>
      <c r="B846" s="147" t="s">
        <v>250</v>
      </c>
      <c r="C846" s="148" t="s">
        <v>133</v>
      </c>
      <c r="D846" s="147" t="s">
        <v>6</v>
      </c>
      <c r="E846" s="147" t="s">
        <v>218</v>
      </c>
      <c r="F846" s="149">
        <v>33.733038630766416</v>
      </c>
      <c r="G846" s="148" t="s">
        <v>219</v>
      </c>
    </row>
    <row r="847" spans="1:7">
      <c r="A847" s="147" t="s">
        <v>185</v>
      </c>
      <c r="B847" s="147" t="s">
        <v>250</v>
      </c>
      <c r="C847" s="148" t="s">
        <v>133</v>
      </c>
      <c r="D847" s="147" t="s">
        <v>6</v>
      </c>
      <c r="E847" s="147" t="s">
        <v>218</v>
      </c>
      <c r="F847" s="149">
        <v>37.359115958029932</v>
      </c>
      <c r="G847" s="148" t="s">
        <v>219</v>
      </c>
    </row>
    <row r="848" spans="1:7">
      <c r="A848" s="147" t="s">
        <v>107</v>
      </c>
      <c r="B848" s="147" t="s">
        <v>250</v>
      </c>
      <c r="C848" s="148" t="s">
        <v>133</v>
      </c>
      <c r="D848" s="147" t="s">
        <v>6</v>
      </c>
      <c r="E848" s="147" t="s">
        <v>218</v>
      </c>
      <c r="F848" s="149">
        <v>42.233930986347858</v>
      </c>
      <c r="G848" s="148" t="s">
        <v>219</v>
      </c>
    </row>
    <row r="849" spans="1:7">
      <c r="A849" s="147">
        <v>2018</v>
      </c>
      <c r="B849" s="147" t="s">
        <v>250</v>
      </c>
      <c r="C849" s="148" t="s">
        <v>133</v>
      </c>
      <c r="D849" s="147" t="s">
        <v>7</v>
      </c>
      <c r="E849" s="147" t="s">
        <v>218</v>
      </c>
      <c r="F849" s="149">
        <v>8.2978380521764326</v>
      </c>
      <c r="G849" s="148" t="s">
        <v>219</v>
      </c>
    </row>
    <row r="850" spans="1:7">
      <c r="A850" s="147">
        <v>2019</v>
      </c>
      <c r="B850" s="147" t="s">
        <v>250</v>
      </c>
      <c r="C850" s="148" t="s">
        <v>133</v>
      </c>
      <c r="D850" s="147" t="s">
        <v>7</v>
      </c>
      <c r="E850" s="147" t="s">
        <v>218</v>
      </c>
      <c r="F850" s="149">
        <v>8.8334417897968507</v>
      </c>
      <c r="G850" s="148" t="s">
        <v>219</v>
      </c>
    </row>
    <row r="851" spans="1:7">
      <c r="A851" s="147">
        <v>2020</v>
      </c>
      <c r="B851" s="147" t="s">
        <v>250</v>
      </c>
      <c r="C851" s="148" t="s">
        <v>133</v>
      </c>
      <c r="D851" s="147" t="s">
        <v>7</v>
      </c>
      <c r="E851" s="147" t="s">
        <v>218</v>
      </c>
      <c r="F851" s="149">
        <v>3.2086034522463227</v>
      </c>
      <c r="G851" s="148" t="s">
        <v>219</v>
      </c>
    </row>
    <row r="852" spans="1:7">
      <c r="A852" s="147">
        <v>2021</v>
      </c>
      <c r="B852" s="147" t="s">
        <v>250</v>
      </c>
      <c r="C852" s="148" t="s">
        <v>133</v>
      </c>
      <c r="D852" s="147" t="s">
        <v>7</v>
      </c>
      <c r="E852" s="147" t="s">
        <v>218</v>
      </c>
      <c r="F852" s="149">
        <v>5.4295733396258026</v>
      </c>
      <c r="G852" s="148" t="s">
        <v>219</v>
      </c>
    </row>
    <row r="853" spans="1:7">
      <c r="A853" s="147">
        <v>2022</v>
      </c>
      <c r="B853" s="147" t="s">
        <v>250</v>
      </c>
      <c r="C853" s="148" t="s">
        <v>133</v>
      </c>
      <c r="D853" s="147" t="s">
        <v>7</v>
      </c>
      <c r="E853" s="147" t="s">
        <v>218</v>
      </c>
      <c r="F853" s="149">
        <v>5.1823604264708703</v>
      </c>
      <c r="G853" s="148" t="s">
        <v>219</v>
      </c>
    </row>
    <row r="854" spans="1:7">
      <c r="A854" s="147" t="s">
        <v>185</v>
      </c>
      <c r="B854" s="147" t="s">
        <v>250</v>
      </c>
      <c r="C854" s="148" t="s">
        <v>133</v>
      </c>
      <c r="D854" s="147" t="s">
        <v>7</v>
      </c>
      <c r="E854" s="147" t="s">
        <v>218</v>
      </c>
      <c r="F854" s="149">
        <v>5.368274027270111</v>
      </c>
      <c r="G854" s="148" t="s">
        <v>219</v>
      </c>
    </row>
    <row r="855" spans="1:7">
      <c r="A855" s="147" t="s">
        <v>107</v>
      </c>
      <c r="B855" s="147" t="s">
        <v>250</v>
      </c>
      <c r="C855" s="148" t="s">
        <v>133</v>
      </c>
      <c r="D855" s="147" t="s">
        <v>7</v>
      </c>
      <c r="E855" s="147" t="s">
        <v>218</v>
      </c>
      <c r="F855" s="149">
        <v>7.8330331934245647</v>
      </c>
      <c r="G855" s="148" t="s">
        <v>219</v>
      </c>
    </row>
    <row r="856" spans="1:7">
      <c r="A856" s="147">
        <v>2018</v>
      </c>
      <c r="B856" s="147" t="s">
        <v>250</v>
      </c>
      <c r="C856" s="148" t="s">
        <v>133</v>
      </c>
      <c r="D856" s="147" t="s">
        <v>8</v>
      </c>
      <c r="E856" s="147" t="s">
        <v>218</v>
      </c>
      <c r="F856" s="149">
        <v>36.559211391048464</v>
      </c>
      <c r="G856" s="148" t="s">
        <v>219</v>
      </c>
    </row>
    <row r="857" spans="1:7">
      <c r="A857" s="147">
        <v>2019</v>
      </c>
      <c r="B857" s="147" t="s">
        <v>250</v>
      </c>
      <c r="C857" s="148" t="s">
        <v>133</v>
      </c>
      <c r="D857" s="147" t="s">
        <v>8</v>
      </c>
      <c r="E857" s="147" t="s">
        <v>218</v>
      </c>
      <c r="F857" s="149">
        <v>36.129860022428346</v>
      </c>
      <c r="G857" s="148" t="s">
        <v>219</v>
      </c>
    </row>
    <row r="858" spans="1:7">
      <c r="A858" s="147">
        <v>2020</v>
      </c>
      <c r="B858" s="147" t="s">
        <v>250</v>
      </c>
      <c r="C858" s="148" t="s">
        <v>133</v>
      </c>
      <c r="D858" s="147" t="s">
        <v>8</v>
      </c>
      <c r="E858" s="147" t="s">
        <v>218</v>
      </c>
      <c r="F858" s="149">
        <v>36.162272125356061</v>
      </c>
      <c r="G858" s="148" t="s">
        <v>219</v>
      </c>
    </row>
    <row r="859" spans="1:7">
      <c r="A859" s="147">
        <v>2021</v>
      </c>
      <c r="B859" s="147" t="s">
        <v>250</v>
      </c>
      <c r="C859" s="148" t="s">
        <v>133</v>
      </c>
      <c r="D859" s="147" t="s">
        <v>8</v>
      </c>
      <c r="E859" s="147" t="s">
        <v>218</v>
      </c>
      <c r="F859" s="149">
        <v>37.824458639009009</v>
      </c>
      <c r="G859" s="148" t="s">
        <v>219</v>
      </c>
    </row>
    <row r="860" spans="1:7">
      <c r="A860" s="147">
        <v>2022</v>
      </c>
      <c r="B860" s="147" t="s">
        <v>250</v>
      </c>
      <c r="C860" s="148" t="s">
        <v>133</v>
      </c>
      <c r="D860" s="147" t="s">
        <v>8</v>
      </c>
      <c r="E860" s="147" t="s">
        <v>218</v>
      </c>
      <c r="F860" s="149">
        <v>36.929598221606703</v>
      </c>
      <c r="G860" s="148" t="s">
        <v>219</v>
      </c>
    </row>
    <row r="861" spans="1:7">
      <c r="A861" s="147" t="s">
        <v>185</v>
      </c>
      <c r="B861" s="147" t="s">
        <v>250</v>
      </c>
      <c r="C861" s="148" t="s">
        <v>133</v>
      </c>
      <c r="D861" s="147" t="s">
        <v>8</v>
      </c>
      <c r="E861" s="147" t="s">
        <v>218</v>
      </c>
      <c r="F861" s="149">
        <v>39.127428568897322</v>
      </c>
      <c r="G861" s="148" t="s">
        <v>219</v>
      </c>
    </row>
    <row r="862" spans="1:7">
      <c r="A862" s="147" t="s">
        <v>107</v>
      </c>
      <c r="B862" s="147" t="s">
        <v>250</v>
      </c>
      <c r="C862" s="148" t="s">
        <v>133</v>
      </c>
      <c r="D862" s="147" t="s">
        <v>8</v>
      </c>
      <c r="E862" s="147" t="s">
        <v>218</v>
      </c>
      <c r="F862" s="149">
        <v>41.121498120125054</v>
      </c>
      <c r="G862" s="148" t="s">
        <v>219</v>
      </c>
    </row>
    <row r="863" spans="1:7">
      <c r="A863" s="147">
        <v>2018</v>
      </c>
      <c r="B863" s="147" t="s">
        <v>250</v>
      </c>
      <c r="C863" s="148" t="s">
        <v>133</v>
      </c>
      <c r="D863" s="147" t="s">
        <v>9</v>
      </c>
      <c r="E863" s="147" t="s">
        <v>218</v>
      </c>
      <c r="F863" s="149">
        <v>28.460349646571405</v>
      </c>
      <c r="G863" s="148" t="s">
        <v>219</v>
      </c>
    </row>
    <row r="864" spans="1:7">
      <c r="A864" s="147">
        <v>2019</v>
      </c>
      <c r="B864" s="147" t="s">
        <v>250</v>
      </c>
      <c r="C864" s="148" t="s">
        <v>133</v>
      </c>
      <c r="D864" s="147" t="s">
        <v>9</v>
      </c>
      <c r="E864" s="147" t="s">
        <v>218</v>
      </c>
      <c r="F864" s="149">
        <v>29.300149257706881</v>
      </c>
      <c r="G864" s="148" t="s">
        <v>219</v>
      </c>
    </row>
    <row r="865" spans="1:7">
      <c r="A865" s="147">
        <v>2020</v>
      </c>
      <c r="B865" s="147" t="s">
        <v>250</v>
      </c>
      <c r="C865" s="148" t="s">
        <v>133</v>
      </c>
      <c r="D865" s="147" t="s">
        <v>9</v>
      </c>
      <c r="E865" s="147" t="s">
        <v>218</v>
      </c>
      <c r="F865" s="149">
        <v>28.596241371742138</v>
      </c>
      <c r="G865" s="148" t="s">
        <v>219</v>
      </c>
    </row>
    <row r="866" spans="1:7">
      <c r="A866" s="147">
        <v>2021</v>
      </c>
      <c r="B866" s="147" t="s">
        <v>250</v>
      </c>
      <c r="C866" s="148" t="s">
        <v>133</v>
      </c>
      <c r="D866" s="147" t="s">
        <v>9</v>
      </c>
      <c r="E866" s="147" t="s">
        <v>218</v>
      </c>
      <c r="F866" s="149">
        <v>30.67764907591442</v>
      </c>
      <c r="G866" s="148" t="s">
        <v>219</v>
      </c>
    </row>
    <row r="867" spans="1:7">
      <c r="A867" s="147">
        <v>2022</v>
      </c>
      <c r="B867" s="147" t="s">
        <v>250</v>
      </c>
      <c r="C867" s="148" t="s">
        <v>133</v>
      </c>
      <c r="D867" s="147" t="s">
        <v>9</v>
      </c>
      <c r="E867" s="147" t="s">
        <v>218</v>
      </c>
      <c r="F867" s="149">
        <v>33.793432643546709</v>
      </c>
      <c r="G867" s="148" t="s">
        <v>219</v>
      </c>
    </row>
    <row r="868" spans="1:7">
      <c r="A868" s="147" t="s">
        <v>185</v>
      </c>
      <c r="B868" s="147" t="s">
        <v>250</v>
      </c>
      <c r="C868" s="148" t="s">
        <v>133</v>
      </c>
      <c r="D868" s="147" t="s">
        <v>9</v>
      </c>
      <c r="E868" s="147" t="s">
        <v>218</v>
      </c>
      <c r="F868" s="149">
        <v>32.965199507478125</v>
      </c>
      <c r="G868" s="148" t="s">
        <v>219</v>
      </c>
    </row>
    <row r="869" spans="1:7">
      <c r="A869" s="147" t="s">
        <v>107</v>
      </c>
      <c r="B869" s="147" t="s">
        <v>250</v>
      </c>
      <c r="C869" s="148" t="s">
        <v>133</v>
      </c>
      <c r="D869" s="147" t="s">
        <v>9</v>
      </c>
      <c r="E869" s="147" t="s">
        <v>218</v>
      </c>
      <c r="F869" s="149">
        <v>34.659323382303953</v>
      </c>
      <c r="G869" s="148" t="s">
        <v>219</v>
      </c>
    </row>
    <row r="870" spans="1:7">
      <c r="A870" s="147">
        <v>2018</v>
      </c>
      <c r="B870" s="147" t="s">
        <v>250</v>
      </c>
      <c r="C870" s="148" t="s">
        <v>133</v>
      </c>
      <c r="D870" s="147" t="s">
        <v>70</v>
      </c>
      <c r="E870" s="147" t="s">
        <v>218</v>
      </c>
      <c r="F870" s="149">
        <v>65.339840588368844</v>
      </c>
      <c r="G870" s="148" t="s">
        <v>219</v>
      </c>
    </row>
    <row r="871" spans="1:7">
      <c r="A871" s="147">
        <v>2019</v>
      </c>
      <c r="B871" s="147" t="s">
        <v>250</v>
      </c>
      <c r="C871" s="148" t="s">
        <v>133</v>
      </c>
      <c r="D871" s="147" t="s">
        <v>70</v>
      </c>
      <c r="E871" s="147" t="s">
        <v>218</v>
      </c>
      <c r="F871" s="149">
        <v>68.227038575685313</v>
      </c>
      <c r="G871" s="148" t="s">
        <v>219</v>
      </c>
    </row>
    <row r="872" spans="1:7">
      <c r="A872" s="147">
        <v>2020</v>
      </c>
      <c r="B872" s="147" t="s">
        <v>250</v>
      </c>
      <c r="C872" s="148" t="s">
        <v>133</v>
      </c>
      <c r="D872" s="147" t="s">
        <v>70</v>
      </c>
      <c r="E872" s="147" t="s">
        <v>218</v>
      </c>
      <c r="F872" s="149">
        <v>65.731738013166606</v>
      </c>
      <c r="G872" s="148" t="s">
        <v>219</v>
      </c>
    </row>
    <row r="873" spans="1:7">
      <c r="A873" s="147">
        <v>2021</v>
      </c>
      <c r="B873" s="147" t="s">
        <v>250</v>
      </c>
      <c r="C873" s="148" t="s">
        <v>133</v>
      </c>
      <c r="D873" s="147" t="s">
        <v>70</v>
      </c>
      <c r="E873" s="147" t="s">
        <v>218</v>
      </c>
      <c r="F873" s="149">
        <v>67.403970497777166</v>
      </c>
      <c r="G873" s="148" t="s">
        <v>219</v>
      </c>
    </row>
    <row r="874" spans="1:7">
      <c r="A874" s="147">
        <v>2022</v>
      </c>
      <c r="B874" s="147" t="s">
        <v>250</v>
      </c>
      <c r="C874" s="148" t="s">
        <v>133</v>
      </c>
      <c r="D874" s="147" t="s">
        <v>70</v>
      </c>
      <c r="E874" s="147" t="s">
        <v>218</v>
      </c>
      <c r="F874" s="149">
        <v>73.908741919168619</v>
      </c>
      <c r="G874" s="148" t="s">
        <v>219</v>
      </c>
    </row>
    <row r="875" spans="1:7">
      <c r="A875" s="147" t="s">
        <v>185</v>
      </c>
      <c r="B875" s="147" t="s">
        <v>250</v>
      </c>
      <c r="C875" s="148" t="s">
        <v>133</v>
      </c>
      <c r="D875" s="147" t="s">
        <v>70</v>
      </c>
      <c r="E875" s="147" t="s">
        <v>218</v>
      </c>
      <c r="F875" s="149">
        <v>63.586486910135292</v>
      </c>
      <c r="G875" s="148" t="s">
        <v>219</v>
      </c>
    </row>
    <row r="876" spans="1:7">
      <c r="A876" s="147" t="s">
        <v>107</v>
      </c>
      <c r="B876" s="147" t="s">
        <v>250</v>
      </c>
      <c r="C876" s="148" t="s">
        <v>133</v>
      </c>
      <c r="D876" s="147" t="s">
        <v>70</v>
      </c>
      <c r="E876" s="147" t="s">
        <v>218</v>
      </c>
      <c r="F876" s="149">
        <v>71.71234186095549</v>
      </c>
      <c r="G876" s="148" t="s">
        <v>219</v>
      </c>
    </row>
    <row r="877" spans="1:7">
      <c r="A877" s="147">
        <v>2018</v>
      </c>
      <c r="B877" s="147" t="s">
        <v>250</v>
      </c>
      <c r="C877" s="148" t="s">
        <v>133</v>
      </c>
      <c r="D877" s="147" t="s">
        <v>10</v>
      </c>
      <c r="E877" s="147" t="s">
        <v>218</v>
      </c>
      <c r="F877" s="149">
        <v>0.69430855020687166</v>
      </c>
      <c r="G877" s="148" t="s">
        <v>219</v>
      </c>
    </row>
    <row r="878" spans="1:7">
      <c r="A878" s="147">
        <v>2019</v>
      </c>
      <c r="B878" s="147" t="s">
        <v>250</v>
      </c>
      <c r="C878" s="148" t="s">
        <v>133</v>
      </c>
      <c r="D878" s="147" t="s">
        <v>10</v>
      </c>
      <c r="E878" s="147" t="s">
        <v>218</v>
      </c>
      <c r="F878" s="149">
        <v>0.89769789389262367</v>
      </c>
      <c r="G878" s="148" t="s">
        <v>219</v>
      </c>
    </row>
    <row r="879" spans="1:7">
      <c r="A879" s="147">
        <v>2020</v>
      </c>
      <c r="B879" s="147" t="s">
        <v>250</v>
      </c>
      <c r="C879" s="148" t="s">
        <v>133</v>
      </c>
      <c r="D879" s="147" t="s">
        <v>10</v>
      </c>
      <c r="E879" s="147" t="s">
        <v>218</v>
      </c>
      <c r="F879" s="149">
        <v>0.92396338462277172</v>
      </c>
      <c r="G879" s="148" t="s">
        <v>219</v>
      </c>
    </row>
    <row r="880" spans="1:7">
      <c r="A880" s="147">
        <v>2021</v>
      </c>
      <c r="B880" s="147" t="s">
        <v>250</v>
      </c>
      <c r="C880" s="148" t="s">
        <v>133</v>
      </c>
      <c r="D880" s="147" t="s">
        <v>10</v>
      </c>
      <c r="E880" s="147" t="s">
        <v>218</v>
      </c>
      <c r="F880" s="149">
        <v>0.76712098608247614</v>
      </c>
      <c r="G880" s="148" t="s">
        <v>219</v>
      </c>
    </row>
    <row r="881" spans="1:7">
      <c r="A881" s="147">
        <v>2022</v>
      </c>
      <c r="B881" s="147" t="s">
        <v>250</v>
      </c>
      <c r="C881" s="148" t="s">
        <v>133</v>
      </c>
      <c r="D881" s="147" t="s">
        <v>10</v>
      </c>
      <c r="E881" s="147" t="s">
        <v>218</v>
      </c>
      <c r="F881" s="149">
        <v>0.84491922559861221</v>
      </c>
      <c r="G881" s="148" t="s">
        <v>219</v>
      </c>
    </row>
    <row r="882" spans="1:7">
      <c r="A882" s="147" t="s">
        <v>185</v>
      </c>
      <c r="B882" s="147" t="s">
        <v>250</v>
      </c>
      <c r="C882" s="148" t="s">
        <v>133</v>
      </c>
      <c r="D882" s="147" t="s">
        <v>10</v>
      </c>
      <c r="E882" s="147" t="s">
        <v>218</v>
      </c>
      <c r="F882" s="149">
        <v>0.92345538924252124</v>
      </c>
      <c r="G882" s="148" t="s">
        <v>219</v>
      </c>
    </row>
    <row r="883" spans="1:7">
      <c r="A883" s="147" t="s">
        <v>107</v>
      </c>
      <c r="B883" s="147" t="s">
        <v>250</v>
      </c>
      <c r="C883" s="148" t="s">
        <v>133</v>
      </c>
      <c r="D883" s="147" t="s">
        <v>10</v>
      </c>
      <c r="E883" s="147" t="s">
        <v>218</v>
      </c>
      <c r="F883" s="149">
        <v>0.83395285580460599</v>
      </c>
      <c r="G883" s="148" t="s">
        <v>219</v>
      </c>
    </row>
    <row r="884" spans="1:7">
      <c r="A884" s="147">
        <v>2018</v>
      </c>
      <c r="B884" s="147" t="s">
        <v>250</v>
      </c>
      <c r="C884" s="148" t="s">
        <v>133</v>
      </c>
      <c r="D884" s="147" t="s">
        <v>59</v>
      </c>
      <c r="E884" s="147" t="s">
        <v>218</v>
      </c>
      <c r="F884" s="149">
        <v>3.5125187515660336E-2</v>
      </c>
      <c r="G884" s="148" t="s">
        <v>219</v>
      </c>
    </row>
    <row r="885" spans="1:7">
      <c r="A885" s="147">
        <v>2019</v>
      </c>
      <c r="B885" s="147" t="s">
        <v>250</v>
      </c>
      <c r="C885" s="148" t="s">
        <v>133</v>
      </c>
      <c r="D885" s="147" t="s">
        <v>59</v>
      </c>
      <c r="E885" s="147" t="s">
        <v>218</v>
      </c>
      <c r="F885" s="149">
        <v>5.5555255234810003E-2</v>
      </c>
      <c r="G885" s="148" t="s">
        <v>219</v>
      </c>
    </row>
    <row r="886" spans="1:7">
      <c r="A886" s="147">
        <v>2020</v>
      </c>
      <c r="B886" s="147" t="s">
        <v>250</v>
      </c>
      <c r="C886" s="148" t="s">
        <v>133</v>
      </c>
      <c r="D886" s="147" t="s">
        <v>59</v>
      </c>
      <c r="E886" s="147" t="s">
        <v>218</v>
      </c>
      <c r="F886" s="149">
        <v>5.7817618818124118E-2</v>
      </c>
      <c r="G886" s="148" t="s">
        <v>219</v>
      </c>
    </row>
    <row r="887" spans="1:7">
      <c r="A887" s="147">
        <v>2021</v>
      </c>
      <c r="B887" s="147" t="s">
        <v>250</v>
      </c>
      <c r="C887" s="148" t="s">
        <v>133</v>
      </c>
      <c r="D887" s="147" t="s">
        <v>59</v>
      </c>
      <c r="E887" s="147" t="s">
        <v>218</v>
      </c>
      <c r="F887" s="149">
        <v>5.454577236888318E-2</v>
      </c>
      <c r="G887" s="148" t="s">
        <v>219</v>
      </c>
    </row>
    <row r="888" spans="1:7">
      <c r="A888" s="147">
        <v>2022</v>
      </c>
      <c r="B888" s="147" t="s">
        <v>250</v>
      </c>
      <c r="C888" s="148" t="s">
        <v>133</v>
      </c>
      <c r="D888" s="147" t="s">
        <v>59</v>
      </c>
      <c r="E888" s="147" t="s">
        <v>218</v>
      </c>
      <c r="F888" s="149">
        <v>7.9887138599654517E-2</v>
      </c>
      <c r="G888" s="148" t="s">
        <v>219</v>
      </c>
    </row>
    <row r="889" spans="1:7">
      <c r="A889" s="147" t="s">
        <v>185</v>
      </c>
      <c r="B889" s="147" t="s">
        <v>250</v>
      </c>
      <c r="C889" s="148" t="s">
        <v>133</v>
      </c>
      <c r="D889" s="147" t="s">
        <v>59</v>
      </c>
      <c r="E889" s="147" t="s">
        <v>218</v>
      </c>
      <c r="F889" s="149">
        <v>9.7315228644047805E-2</v>
      </c>
      <c r="G889" s="148" t="s">
        <v>219</v>
      </c>
    </row>
    <row r="890" spans="1:7">
      <c r="A890" s="147" t="s">
        <v>107</v>
      </c>
      <c r="B890" s="147" t="s">
        <v>250</v>
      </c>
      <c r="C890" s="148" t="s">
        <v>133</v>
      </c>
      <c r="D890" s="147" t="s">
        <v>59</v>
      </c>
      <c r="E890" s="147" t="s">
        <v>218</v>
      </c>
      <c r="F890" s="149">
        <v>8.3379759806487833E-2</v>
      </c>
      <c r="G890" s="148" t="s">
        <v>219</v>
      </c>
    </row>
    <row r="891" spans="1:7">
      <c r="A891" s="147">
        <v>2018</v>
      </c>
      <c r="B891" s="147" t="s">
        <v>250</v>
      </c>
      <c r="C891" s="148" t="s">
        <v>133</v>
      </c>
      <c r="D891" s="147" t="s">
        <v>66</v>
      </c>
      <c r="E891" s="147" t="s">
        <v>218</v>
      </c>
      <c r="F891" s="149">
        <v>0.87286399222572342</v>
      </c>
      <c r="G891" s="148" t="s">
        <v>219</v>
      </c>
    </row>
    <row r="892" spans="1:7">
      <c r="A892" s="147">
        <v>2019</v>
      </c>
      <c r="B892" s="147" t="s">
        <v>250</v>
      </c>
      <c r="C892" s="148" t="s">
        <v>133</v>
      </c>
      <c r="D892" s="147" t="s">
        <v>66</v>
      </c>
      <c r="E892" s="147" t="s">
        <v>218</v>
      </c>
      <c r="F892" s="149">
        <v>0.72596960434119084</v>
      </c>
      <c r="G892" s="148" t="s">
        <v>219</v>
      </c>
    </row>
    <row r="893" spans="1:7">
      <c r="A893" s="147">
        <v>2020</v>
      </c>
      <c r="B893" s="147" t="s">
        <v>250</v>
      </c>
      <c r="C893" s="148" t="s">
        <v>133</v>
      </c>
      <c r="D893" s="147" t="s">
        <v>66</v>
      </c>
      <c r="E893" s="147" t="s">
        <v>218</v>
      </c>
      <c r="F893" s="149">
        <v>0.58586609495691278</v>
      </c>
      <c r="G893" s="148" t="s">
        <v>219</v>
      </c>
    </row>
    <row r="894" spans="1:7">
      <c r="A894" s="147">
        <v>2021</v>
      </c>
      <c r="B894" s="147" t="s">
        <v>250</v>
      </c>
      <c r="C894" s="148" t="s">
        <v>133</v>
      </c>
      <c r="D894" s="147" t="s">
        <v>66</v>
      </c>
      <c r="E894" s="147" t="s">
        <v>218</v>
      </c>
      <c r="F894" s="149">
        <v>0.6525223623703883</v>
      </c>
      <c r="G894" s="148" t="s">
        <v>219</v>
      </c>
    </row>
    <row r="895" spans="1:7">
      <c r="A895" s="147">
        <v>2022</v>
      </c>
      <c r="B895" s="147" t="s">
        <v>250</v>
      </c>
      <c r="C895" s="148" t="s">
        <v>133</v>
      </c>
      <c r="D895" s="147" t="s">
        <v>66</v>
      </c>
      <c r="E895" s="147" t="s">
        <v>218</v>
      </c>
      <c r="F895" s="149">
        <v>0.7897409418656206</v>
      </c>
      <c r="G895" s="148" t="s">
        <v>219</v>
      </c>
    </row>
    <row r="896" spans="1:7">
      <c r="A896" s="147" t="s">
        <v>185</v>
      </c>
      <c r="B896" s="147" t="s">
        <v>250</v>
      </c>
      <c r="C896" s="148" t="s">
        <v>133</v>
      </c>
      <c r="D896" s="147" t="s">
        <v>66</v>
      </c>
      <c r="E896" s="147" t="s">
        <v>218</v>
      </c>
      <c r="F896" s="149">
        <v>0.81545995813619077</v>
      </c>
      <c r="G896" s="148" t="s">
        <v>219</v>
      </c>
    </row>
    <row r="897" spans="1:7">
      <c r="A897" s="147" t="s">
        <v>107</v>
      </c>
      <c r="B897" s="147" t="s">
        <v>250</v>
      </c>
      <c r="C897" s="148" t="s">
        <v>133</v>
      </c>
      <c r="D897" s="147" t="s">
        <v>66</v>
      </c>
      <c r="E897" s="147" t="s">
        <v>218</v>
      </c>
      <c r="F897" s="149">
        <v>0.73424777278946152</v>
      </c>
      <c r="G897" s="148" t="s">
        <v>219</v>
      </c>
    </row>
    <row r="898" spans="1:7">
      <c r="A898" s="147">
        <v>2018</v>
      </c>
      <c r="B898" s="147" t="s">
        <v>250</v>
      </c>
      <c r="C898" s="148" t="s">
        <v>133</v>
      </c>
      <c r="D898" s="147" t="s">
        <v>61</v>
      </c>
      <c r="E898" s="147" t="s">
        <v>218</v>
      </c>
      <c r="F898" s="149">
        <v>9.640084734549589</v>
      </c>
      <c r="G898" s="148" t="s">
        <v>219</v>
      </c>
    </row>
    <row r="899" spans="1:7">
      <c r="A899" s="147">
        <v>2019</v>
      </c>
      <c r="B899" s="147" t="s">
        <v>250</v>
      </c>
      <c r="C899" s="148" t="s">
        <v>133</v>
      </c>
      <c r="D899" s="147" t="s">
        <v>61</v>
      </c>
      <c r="E899" s="147" t="s">
        <v>218</v>
      </c>
      <c r="F899" s="149">
        <v>10.582073207371023</v>
      </c>
      <c r="G899" s="148" t="s">
        <v>219</v>
      </c>
    </row>
    <row r="900" spans="1:7">
      <c r="A900" s="147">
        <v>2020</v>
      </c>
      <c r="B900" s="147" t="s">
        <v>250</v>
      </c>
      <c r="C900" s="148" t="s">
        <v>133</v>
      </c>
      <c r="D900" s="147" t="s">
        <v>61</v>
      </c>
      <c r="E900" s="147" t="s">
        <v>218</v>
      </c>
      <c r="F900" s="149">
        <v>8.5030424466104595</v>
      </c>
      <c r="G900" s="148" t="s">
        <v>219</v>
      </c>
    </row>
    <row r="901" spans="1:7">
      <c r="A901" s="147">
        <v>2021</v>
      </c>
      <c r="B901" s="147" t="s">
        <v>250</v>
      </c>
      <c r="C901" s="148" t="s">
        <v>133</v>
      </c>
      <c r="D901" s="147" t="s">
        <v>61</v>
      </c>
      <c r="E901" s="147" t="s">
        <v>218</v>
      </c>
      <c r="F901" s="149">
        <v>7.3460058033861051</v>
      </c>
      <c r="G901" s="148" t="s">
        <v>219</v>
      </c>
    </row>
    <row r="902" spans="1:7">
      <c r="A902" s="147">
        <v>2022</v>
      </c>
      <c r="B902" s="147" t="s">
        <v>250</v>
      </c>
      <c r="C902" s="148" t="s">
        <v>133</v>
      </c>
      <c r="D902" s="147" t="s">
        <v>61</v>
      </c>
      <c r="E902" s="147" t="s">
        <v>218</v>
      </c>
      <c r="F902" s="149">
        <v>8.5240683950018177</v>
      </c>
      <c r="G902" s="148" t="s">
        <v>219</v>
      </c>
    </row>
    <row r="903" spans="1:7">
      <c r="A903" s="147" t="s">
        <v>185</v>
      </c>
      <c r="B903" s="147" t="s">
        <v>250</v>
      </c>
      <c r="C903" s="148" t="s">
        <v>133</v>
      </c>
      <c r="D903" s="147" t="s">
        <v>61</v>
      </c>
      <c r="E903" s="147" t="s">
        <v>218</v>
      </c>
      <c r="F903" s="149">
        <v>7.5085567103326936</v>
      </c>
      <c r="G903" s="148" t="s">
        <v>219</v>
      </c>
    </row>
    <row r="904" spans="1:7">
      <c r="A904" s="147" t="s">
        <v>107</v>
      </c>
      <c r="B904" s="147" t="s">
        <v>250</v>
      </c>
      <c r="C904" s="148" t="s">
        <v>133</v>
      </c>
      <c r="D904" s="147" t="s">
        <v>61</v>
      </c>
      <c r="E904" s="147" t="s">
        <v>218</v>
      </c>
      <c r="F904" s="149">
        <v>8.4939456961742401</v>
      </c>
      <c r="G904" s="148" t="s">
        <v>219</v>
      </c>
    </row>
    <row r="905" spans="1:7">
      <c r="A905" s="147">
        <v>2018</v>
      </c>
      <c r="B905" s="147" t="s">
        <v>251</v>
      </c>
      <c r="C905" s="148" t="s">
        <v>133</v>
      </c>
      <c r="D905" s="147" t="s">
        <v>221</v>
      </c>
      <c r="E905" s="147" t="s">
        <v>218</v>
      </c>
      <c r="F905" s="149">
        <v>175.63355588385969</v>
      </c>
      <c r="G905" s="148" t="s">
        <v>219</v>
      </c>
    </row>
    <row r="906" spans="1:7">
      <c r="A906" s="147">
        <v>2019</v>
      </c>
      <c r="B906" s="147" t="s">
        <v>251</v>
      </c>
      <c r="C906" s="148" t="s">
        <v>133</v>
      </c>
      <c r="D906" s="147" t="s">
        <v>221</v>
      </c>
      <c r="E906" s="147" t="s">
        <v>218</v>
      </c>
      <c r="F906" s="149">
        <v>199.56114223700027</v>
      </c>
      <c r="G906" s="148" t="s">
        <v>219</v>
      </c>
    </row>
    <row r="907" spans="1:7">
      <c r="A907" s="147">
        <v>2020</v>
      </c>
      <c r="B907" s="147" t="s">
        <v>251</v>
      </c>
      <c r="C907" s="148" t="s">
        <v>133</v>
      </c>
      <c r="D907" s="147" t="s">
        <v>221</v>
      </c>
      <c r="E907" s="147" t="s">
        <v>218</v>
      </c>
      <c r="F907" s="149">
        <v>212.07980447240735</v>
      </c>
      <c r="G907" s="148" t="s">
        <v>219</v>
      </c>
    </row>
    <row r="908" spans="1:7">
      <c r="A908" s="147">
        <v>2021</v>
      </c>
      <c r="B908" s="147" t="s">
        <v>251</v>
      </c>
      <c r="C908" s="148" t="s">
        <v>133</v>
      </c>
      <c r="D908" s="147" t="s">
        <v>221</v>
      </c>
      <c r="E908" s="147" t="s">
        <v>218</v>
      </c>
      <c r="F908" s="149">
        <v>215.06055612108489</v>
      </c>
      <c r="G908" s="148" t="s">
        <v>219</v>
      </c>
    </row>
    <row r="909" spans="1:7">
      <c r="A909" s="147">
        <v>2022</v>
      </c>
      <c r="B909" s="147" t="s">
        <v>251</v>
      </c>
      <c r="C909" s="148" t="s">
        <v>133</v>
      </c>
      <c r="D909" s="147" t="s">
        <v>221</v>
      </c>
      <c r="E909" s="147" t="s">
        <v>218</v>
      </c>
      <c r="F909" s="149">
        <v>231.25169872133418</v>
      </c>
      <c r="G909" s="148" t="s">
        <v>219</v>
      </c>
    </row>
    <row r="910" spans="1:7">
      <c r="A910" s="147" t="s">
        <v>185</v>
      </c>
      <c r="B910" s="147" t="s">
        <v>251</v>
      </c>
      <c r="C910" s="148" t="s">
        <v>133</v>
      </c>
      <c r="D910" s="147" t="s">
        <v>221</v>
      </c>
      <c r="E910" s="147" t="s">
        <v>218</v>
      </c>
      <c r="F910" s="149">
        <v>195.23650615445459</v>
      </c>
      <c r="G910" s="148" t="s">
        <v>219</v>
      </c>
    </row>
    <row r="911" spans="1:7">
      <c r="A911" s="147" t="s">
        <v>107</v>
      </c>
      <c r="B911" s="147" t="s">
        <v>251</v>
      </c>
      <c r="C911" s="148" t="s">
        <v>133</v>
      </c>
      <c r="D911" s="147" t="s">
        <v>221</v>
      </c>
      <c r="E911" s="147" t="s">
        <v>218</v>
      </c>
      <c r="F911" s="149">
        <v>211.72794533409808</v>
      </c>
      <c r="G911" s="148" t="s">
        <v>219</v>
      </c>
    </row>
    <row r="912" spans="1:7">
      <c r="A912" s="147">
        <v>2018</v>
      </c>
      <c r="B912" s="147" t="s">
        <v>252</v>
      </c>
      <c r="C912" s="148" t="s">
        <v>133</v>
      </c>
      <c r="D912" s="147" t="s">
        <v>148</v>
      </c>
      <c r="E912" s="147" t="s">
        <v>218</v>
      </c>
      <c r="F912" s="149">
        <v>686.35086533246772</v>
      </c>
      <c r="G912" s="148" t="s">
        <v>219</v>
      </c>
    </row>
    <row r="913" spans="1:7">
      <c r="A913" s="147">
        <v>2019</v>
      </c>
      <c r="B913" s="147" t="s">
        <v>252</v>
      </c>
      <c r="C913" s="148" t="s">
        <v>133</v>
      </c>
      <c r="D913" s="147" t="s">
        <v>148</v>
      </c>
      <c r="E913" s="147" t="s">
        <v>218</v>
      </c>
      <c r="F913" s="149">
        <v>859.43691286772082</v>
      </c>
      <c r="G913" s="148" t="s">
        <v>219</v>
      </c>
    </row>
    <row r="914" spans="1:7">
      <c r="A914" s="147">
        <v>2020</v>
      </c>
      <c r="B914" s="147" t="s">
        <v>252</v>
      </c>
      <c r="C914" s="148" t="s">
        <v>133</v>
      </c>
      <c r="D914" s="147" t="s">
        <v>148</v>
      </c>
      <c r="E914" s="147" t="s">
        <v>218</v>
      </c>
      <c r="F914" s="149">
        <v>736.51173834399606</v>
      </c>
      <c r="G914" s="148" t="s">
        <v>219</v>
      </c>
    </row>
    <row r="915" spans="1:7">
      <c r="A915" s="147">
        <v>2021</v>
      </c>
      <c r="B915" s="147" t="s">
        <v>252</v>
      </c>
      <c r="C915" s="148" t="s">
        <v>133</v>
      </c>
      <c r="D915" s="147" t="s">
        <v>148</v>
      </c>
      <c r="E915" s="147" t="s">
        <v>218</v>
      </c>
      <c r="F915" s="149">
        <v>824.98298080133668</v>
      </c>
      <c r="G915" s="148" t="s">
        <v>219</v>
      </c>
    </row>
    <row r="916" spans="1:7">
      <c r="A916" s="147">
        <v>2022</v>
      </c>
      <c r="B916" s="147" t="s">
        <v>252</v>
      </c>
      <c r="C916" s="148" t="s">
        <v>133</v>
      </c>
      <c r="D916" s="147" t="s">
        <v>148</v>
      </c>
      <c r="E916" s="147" t="s">
        <v>218</v>
      </c>
      <c r="F916" s="149">
        <v>903.64454214810598</v>
      </c>
      <c r="G916" s="148" t="s">
        <v>219</v>
      </c>
    </row>
    <row r="917" spans="1:7">
      <c r="A917" s="147" t="s">
        <v>185</v>
      </c>
      <c r="B917" s="147" t="s">
        <v>252</v>
      </c>
      <c r="C917" s="148" t="s">
        <v>133</v>
      </c>
      <c r="D917" s="147" t="s">
        <v>148</v>
      </c>
      <c r="E917" s="147" t="s">
        <v>218</v>
      </c>
      <c r="F917" s="149">
        <v>849.98870487271938</v>
      </c>
      <c r="G917" s="148" t="s">
        <v>219</v>
      </c>
    </row>
    <row r="918" spans="1:7">
      <c r="A918" s="147" t="s">
        <v>107</v>
      </c>
      <c r="B918" s="147" t="s">
        <v>252</v>
      </c>
      <c r="C918" s="148" t="s">
        <v>133</v>
      </c>
      <c r="D918" s="147" t="s">
        <v>148</v>
      </c>
      <c r="E918" s="147" t="s">
        <v>218</v>
      </c>
      <c r="F918" s="149">
        <v>977.63642639289424</v>
      </c>
      <c r="G918" s="148" t="s">
        <v>219</v>
      </c>
    </row>
    <row r="919" spans="1:7">
      <c r="A919" s="147">
        <v>2018</v>
      </c>
      <c r="B919" s="147" t="s">
        <v>253</v>
      </c>
      <c r="C919" s="148" t="s">
        <v>133</v>
      </c>
      <c r="D919" s="147" t="s">
        <v>149</v>
      </c>
      <c r="E919" s="147" t="s">
        <v>218</v>
      </c>
      <c r="F919" s="149">
        <v>29.833778191821676</v>
      </c>
      <c r="G919" s="148" t="s">
        <v>219</v>
      </c>
    </row>
    <row r="920" spans="1:7">
      <c r="A920" s="147">
        <v>2019</v>
      </c>
      <c r="B920" s="147" t="s">
        <v>253</v>
      </c>
      <c r="C920" s="148" t="s">
        <v>133</v>
      </c>
      <c r="D920" s="147" t="s">
        <v>149</v>
      </c>
      <c r="E920" s="147" t="s">
        <v>218</v>
      </c>
      <c r="F920" s="149">
        <v>30.865785377663041</v>
      </c>
      <c r="G920" s="148" t="s">
        <v>219</v>
      </c>
    </row>
    <row r="921" spans="1:7">
      <c r="A921" s="147">
        <v>2020</v>
      </c>
      <c r="B921" s="147" t="s">
        <v>253</v>
      </c>
      <c r="C921" s="148" t="s">
        <v>133</v>
      </c>
      <c r="D921" s="147" t="s">
        <v>149</v>
      </c>
      <c r="E921" s="147" t="s">
        <v>218</v>
      </c>
      <c r="F921" s="149">
        <v>19.916402595016148</v>
      </c>
      <c r="G921" s="148" t="s">
        <v>219</v>
      </c>
    </row>
    <row r="922" spans="1:7">
      <c r="A922" s="147">
        <v>2021</v>
      </c>
      <c r="B922" s="147" t="s">
        <v>253</v>
      </c>
      <c r="C922" s="148" t="s">
        <v>133</v>
      </c>
      <c r="D922" s="147" t="s">
        <v>149</v>
      </c>
      <c r="E922" s="147" t="s">
        <v>218</v>
      </c>
      <c r="F922" s="149">
        <v>23.726811854869485</v>
      </c>
      <c r="G922" s="148" t="s">
        <v>219</v>
      </c>
    </row>
    <row r="923" spans="1:7">
      <c r="A923" s="147">
        <v>2022</v>
      </c>
      <c r="B923" s="147" t="s">
        <v>253</v>
      </c>
      <c r="C923" s="148" t="s">
        <v>133</v>
      </c>
      <c r="D923" s="147" t="s">
        <v>149</v>
      </c>
      <c r="E923" s="147" t="s">
        <v>218</v>
      </c>
      <c r="F923" s="149">
        <v>27.285085736736548</v>
      </c>
      <c r="G923" s="148" t="s">
        <v>219</v>
      </c>
    </row>
    <row r="924" spans="1:7">
      <c r="A924" s="147" t="s">
        <v>185</v>
      </c>
      <c r="B924" s="147" t="s">
        <v>253</v>
      </c>
      <c r="C924" s="148" t="s">
        <v>133</v>
      </c>
      <c r="D924" s="147" t="s">
        <v>149</v>
      </c>
      <c r="E924" s="147" t="s">
        <v>218</v>
      </c>
      <c r="F924" s="149">
        <v>27.485107073052742</v>
      </c>
      <c r="G924" s="148" t="s">
        <v>219</v>
      </c>
    </row>
    <row r="925" spans="1:7">
      <c r="A925" s="147" t="s">
        <v>107</v>
      </c>
      <c r="B925" s="147" t="s">
        <v>253</v>
      </c>
      <c r="C925" s="148" t="s">
        <v>133</v>
      </c>
      <c r="D925" s="147" t="s">
        <v>149</v>
      </c>
      <c r="E925" s="147" t="s">
        <v>218</v>
      </c>
      <c r="F925" s="149">
        <v>29.151929456343446</v>
      </c>
      <c r="G925" s="148" t="s">
        <v>219</v>
      </c>
    </row>
    <row r="926" spans="1:7">
      <c r="A926" s="147">
        <v>2018</v>
      </c>
      <c r="B926" s="147" t="s">
        <v>254</v>
      </c>
      <c r="C926" s="148" t="s">
        <v>133</v>
      </c>
      <c r="D926" s="147" t="s">
        <v>136</v>
      </c>
      <c r="E926" s="147" t="s">
        <v>218</v>
      </c>
      <c r="F926" s="149">
        <v>716.18464352428941</v>
      </c>
      <c r="G926" s="148" t="s">
        <v>219</v>
      </c>
    </row>
    <row r="927" spans="1:7">
      <c r="A927" s="147">
        <v>2019</v>
      </c>
      <c r="B927" s="147" t="s">
        <v>254</v>
      </c>
      <c r="C927" s="148" t="s">
        <v>133</v>
      </c>
      <c r="D927" s="147" t="s">
        <v>136</v>
      </c>
      <c r="E927" s="147" t="s">
        <v>218</v>
      </c>
      <c r="F927" s="149">
        <v>890.30269824538379</v>
      </c>
      <c r="G927" s="148" t="s">
        <v>219</v>
      </c>
    </row>
    <row r="928" spans="1:7">
      <c r="A928" s="147">
        <v>2020</v>
      </c>
      <c r="B928" s="147" t="s">
        <v>254</v>
      </c>
      <c r="C928" s="148" t="s">
        <v>133</v>
      </c>
      <c r="D928" s="147" t="s">
        <v>136</v>
      </c>
      <c r="E928" s="147" t="s">
        <v>218</v>
      </c>
      <c r="F928" s="149">
        <v>756.73923563175981</v>
      </c>
      <c r="G928" s="148" t="s">
        <v>219</v>
      </c>
    </row>
    <row r="929" spans="1:7">
      <c r="A929" s="147">
        <v>2021</v>
      </c>
      <c r="B929" s="147" t="s">
        <v>254</v>
      </c>
      <c r="C929" s="148" t="s">
        <v>133</v>
      </c>
      <c r="D929" s="147" t="s">
        <v>136</v>
      </c>
      <c r="E929" s="147" t="s">
        <v>218</v>
      </c>
      <c r="F929" s="149">
        <v>849.0170320966796</v>
      </c>
      <c r="G929" s="148" t="s">
        <v>219</v>
      </c>
    </row>
    <row r="930" spans="1:7">
      <c r="A930" s="147">
        <v>2022</v>
      </c>
      <c r="B930" s="147" t="s">
        <v>254</v>
      </c>
      <c r="C930" s="148" t="s">
        <v>133</v>
      </c>
      <c r="D930" s="147" t="s">
        <v>136</v>
      </c>
      <c r="E930" s="147" t="s">
        <v>218</v>
      </c>
      <c r="F930" s="149">
        <v>931.24823307148608</v>
      </c>
      <c r="G930" s="148" t="s">
        <v>219</v>
      </c>
    </row>
    <row r="931" spans="1:7">
      <c r="A931" s="147" t="s">
        <v>185</v>
      </c>
      <c r="B931" s="147" t="s">
        <v>254</v>
      </c>
      <c r="C931" s="148" t="s">
        <v>133</v>
      </c>
      <c r="D931" s="147" t="s">
        <v>136</v>
      </c>
      <c r="E931" s="147" t="s">
        <v>218</v>
      </c>
      <c r="F931" s="149">
        <v>877.77778389244804</v>
      </c>
      <c r="G931" s="148" t="s">
        <v>219</v>
      </c>
    </row>
    <row r="932" spans="1:7">
      <c r="A932" s="147" t="s">
        <v>107</v>
      </c>
      <c r="B932" s="147" t="s">
        <v>254</v>
      </c>
      <c r="C932" s="148" t="s">
        <v>133</v>
      </c>
      <c r="D932" s="147" t="s">
        <v>136</v>
      </c>
      <c r="E932" s="147" t="s">
        <v>218</v>
      </c>
      <c r="F932" s="149">
        <v>1007.3082966291034</v>
      </c>
      <c r="G932" s="148" t="s">
        <v>219</v>
      </c>
    </row>
    <row r="933" spans="1:7">
      <c r="A933" s="147">
        <v>2018</v>
      </c>
      <c r="B933" s="147" t="s">
        <v>255</v>
      </c>
      <c r="C933" s="148" t="s">
        <v>133</v>
      </c>
      <c r="D933" s="147" t="s">
        <v>0</v>
      </c>
      <c r="E933" s="147" t="s">
        <v>218</v>
      </c>
      <c r="F933" s="149">
        <v>142.59469842054099</v>
      </c>
      <c r="G933" s="148" t="s">
        <v>219</v>
      </c>
    </row>
    <row r="934" spans="1:7">
      <c r="A934" s="147">
        <v>2019</v>
      </c>
      <c r="B934" s="147" t="s">
        <v>255</v>
      </c>
      <c r="C934" s="148" t="s">
        <v>133</v>
      </c>
      <c r="D934" s="147" t="s">
        <v>0</v>
      </c>
      <c r="E934" s="147" t="s">
        <v>218</v>
      </c>
      <c r="F934" s="149">
        <v>137.3539401804918</v>
      </c>
      <c r="G934" s="148" t="s">
        <v>219</v>
      </c>
    </row>
    <row r="935" spans="1:7">
      <c r="A935" s="147">
        <v>2020</v>
      </c>
      <c r="B935" s="147" t="s">
        <v>255</v>
      </c>
      <c r="C935" s="148" t="s">
        <v>133</v>
      </c>
      <c r="D935" s="147" t="s">
        <v>0</v>
      </c>
      <c r="E935" s="147" t="s">
        <v>218</v>
      </c>
      <c r="F935" s="149">
        <v>161.52213556084109</v>
      </c>
      <c r="G935" s="148" t="s">
        <v>219</v>
      </c>
    </row>
    <row r="936" spans="1:7">
      <c r="A936" s="147">
        <v>2021</v>
      </c>
      <c r="B936" s="147" t="s">
        <v>255</v>
      </c>
      <c r="C936" s="148" t="s">
        <v>133</v>
      </c>
      <c r="D936" s="147" t="s">
        <v>0</v>
      </c>
      <c r="E936" s="147" t="s">
        <v>218</v>
      </c>
      <c r="F936" s="149">
        <v>157.71797654953133</v>
      </c>
      <c r="G936" s="148" t="s">
        <v>219</v>
      </c>
    </row>
    <row r="937" spans="1:7">
      <c r="A937" s="147">
        <v>2022</v>
      </c>
      <c r="B937" s="147" t="s">
        <v>255</v>
      </c>
      <c r="C937" s="148" t="s">
        <v>133</v>
      </c>
      <c r="D937" s="147" t="s">
        <v>0</v>
      </c>
      <c r="E937" s="147" t="s">
        <v>218</v>
      </c>
      <c r="F937" s="149">
        <v>159.39451356876199</v>
      </c>
      <c r="G937" s="148" t="s">
        <v>219</v>
      </c>
    </row>
    <row r="938" spans="1:7">
      <c r="A938" s="147" t="s">
        <v>185</v>
      </c>
      <c r="B938" s="147" t="s">
        <v>255</v>
      </c>
      <c r="C938" s="148" t="s">
        <v>133</v>
      </c>
      <c r="D938" s="147" t="s">
        <v>0</v>
      </c>
      <c r="E938" s="147" t="s">
        <v>218</v>
      </c>
      <c r="F938" s="149">
        <v>153.75293028669495</v>
      </c>
      <c r="G938" s="148" t="s">
        <v>219</v>
      </c>
    </row>
    <row r="939" spans="1:7">
      <c r="A939" s="147" t="s">
        <v>107</v>
      </c>
      <c r="B939" s="147" t="s">
        <v>255</v>
      </c>
      <c r="C939" s="148" t="s">
        <v>133</v>
      </c>
      <c r="D939" s="147" t="s">
        <v>0</v>
      </c>
      <c r="E939" s="147" t="s">
        <v>218</v>
      </c>
      <c r="F939" s="149">
        <v>151.73211828130678</v>
      </c>
      <c r="G939" s="148" t="s">
        <v>219</v>
      </c>
    </row>
    <row r="940" spans="1:7">
      <c r="A940" s="147">
        <v>2018</v>
      </c>
      <c r="B940" s="147" t="s">
        <v>255</v>
      </c>
      <c r="C940" s="148" t="s">
        <v>133</v>
      </c>
      <c r="D940" s="147" t="s">
        <v>1</v>
      </c>
      <c r="E940" s="147" t="s">
        <v>218</v>
      </c>
      <c r="F940" s="149">
        <v>382.88549030185789</v>
      </c>
      <c r="G940" s="148" t="s">
        <v>219</v>
      </c>
    </row>
    <row r="941" spans="1:7">
      <c r="A941" s="147">
        <v>2019</v>
      </c>
      <c r="B941" s="147" t="s">
        <v>255</v>
      </c>
      <c r="C941" s="148" t="s">
        <v>133</v>
      </c>
      <c r="D941" s="147" t="s">
        <v>1</v>
      </c>
      <c r="E941" s="147" t="s">
        <v>218</v>
      </c>
      <c r="F941" s="149">
        <v>389.21400342872761</v>
      </c>
      <c r="G941" s="148" t="s">
        <v>219</v>
      </c>
    </row>
    <row r="942" spans="1:7">
      <c r="A942" s="147">
        <v>2020</v>
      </c>
      <c r="B942" s="147" t="s">
        <v>255</v>
      </c>
      <c r="C942" s="148" t="s">
        <v>133</v>
      </c>
      <c r="D942" s="147" t="s">
        <v>1</v>
      </c>
      <c r="E942" s="147" t="s">
        <v>218</v>
      </c>
      <c r="F942" s="149">
        <v>198.30639483335966</v>
      </c>
      <c r="G942" s="148" t="s">
        <v>219</v>
      </c>
    </row>
    <row r="943" spans="1:7">
      <c r="A943" s="147">
        <v>2021</v>
      </c>
      <c r="B943" s="147" t="s">
        <v>255</v>
      </c>
      <c r="C943" s="148" t="s">
        <v>133</v>
      </c>
      <c r="D943" s="147" t="s">
        <v>1</v>
      </c>
      <c r="E943" s="147" t="s">
        <v>218</v>
      </c>
      <c r="F943" s="149">
        <v>243.98440723738943</v>
      </c>
      <c r="G943" s="148" t="s">
        <v>219</v>
      </c>
    </row>
    <row r="944" spans="1:7">
      <c r="A944" s="147">
        <v>2022</v>
      </c>
      <c r="B944" s="147" t="s">
        <v>255</v>
      </c>
      <c r="C944" s="148" t="s">
        <v>133</v>
      </c>
      <c r="D944" s="147" t="s">
        <v>1</v>
      </c>
      <c r="E944" s="147" t="s">
        <v>218</v>
      </c>
      <c r="F944" s="149">
        <v>312.26296907800349</v>
      </c>
      <c r="G944" s="148" t="s">
        <v>219</v>
      </c>
    </row>
    <row r="945" spans="1:7">
      <c r="A945" s="147" t="s">
        <v>185</v>
      </c>
      <c r="B945" s="147" t="s">
        <v>255</v>
      </c>
      <c r="C945" s="148" t="s">
        <v>133</v>
      </c>
      <c r="D945" s="147" t="s">
        <v>1</v>
      </c>
      <c r="E945" s="147" t="s">
        <v>218</v>
      </c>
      <c r="F945" s="149">
        <v>380.05701829097961</v>
      </c>
      <c r="G945" s="148" t="s">
        <v>219</v>
      </c>
    </row>
    <row r="946" spans="1:7">
      <c r="A946" s="147" t="s">
        <v>107</v>
      </c>
      <c r="B946" s="147" t="s">
        <v>255</v>
      </c>
      <c r="C946" s="148" t="s">
        <v>133</v>
      </c>
      <c r="D946" s="147" t="s">
        <v>1</v>
      </c>
      <c r="E946" s="147" t="s">
        <v>218</v>
      </c>
      <c r="F946" s="149">
        <v>570.22063455153102</v>
      </c>
      <c r="G946" s="148" t="s">
        <v>219</v>
      </c>
    </row>
    <row r="947" spans="1:7">
      <c r="A947" s="147">
        <v>2018</v>
      </c>
      <c r="B947" s="147" t="s">
        <v>255</v>
      </c>
      <c r="C947" s="148" t="s">
        <v>133</v>
      </c>
      <c r="D947" s="147" t="s">
        <v>2</v>
      </c>
      <c r="E947" s="147" t="s">
        <v>218</v>
      </c>
      <c r="F947" s="149">
        <v>2359.1697111482886</v>
      </c>
      <c r="G947" s="148" t="s">
        <v>219</v>
      </c>
    </row>
    <row r="948" spans="1:7">
      <c r="A948" s="147">
        <v>2019</v>
      </c>
      <c r="B948" s="147" t="s">
        <v>255</v>
      </c>
      <c r="C948" s="148" t="s">
        <v>133</v>
      </c>
      <c r="D948" s="147" t="s">
        <v>2</v>
      </c>
      <c r="E948" s="147" t="s">
        <v>218</v>
      </c>
      <c r="F948" s="149">
        <v>2415.073476336629</v>
      </c>
      <c r="G948" s="148" t="s">
        <v>219</v>
      </c>
    </row>
    <row r="949" spans="1:7">
      <c r="A949" s="147">
        <v>2020</v>
      </c>
      <c r="B949" s="147" t="s">
        <v>255</v>
      </c>
      <c r="C949" s="148" t="s">
        <v>133</v>
      </c>
      <c r="D949" s="147" t="s">
        <v>2</v>
      </c>
      <c r="E949" s="147" t="s">
        <v>218</v>
      </c>
      <c r="F949" s="149">
        <v>1894.435228075884</v>
      </c>
      <c r="G949" s="148" t="s">
        <v>219</v>
      </c>
    </row>
    <row r="950" spans="1:7">
      <c r="A950" s="147">
        <v>2021</v>
      </c>
      <c r="B950" s="147" t="s">
        <v>255</v>
      </c>
      <c r="C950" s="148" t="s">
        <v>133</v>
      </c>
      <c r="D950" s="147" t="s">
        <v>2</v>
      </c>
      <c r="E950" s="147" t="s">
        <v>218</v>
      </c>
      <c r="F950" s="149">
        <v>2092.5839247711424</v>
      </c>
      <c r="G950" s="148" t="s">
        <v>219</v>
      </c>
    </row>
    <row r="951" spans="1:7">
      <c r="A951" s="147">
        <v>2022</v>
      </c>
      <c r="B951" s="147" t="s">
        <v>255</v>
      </c>
      <c r="C951" s="148" t="s">
        <v>133</v>
      </c>
      <c r="D951" s="147" t="s">
        <v>2</v>
      </c>
      <c r="E951" s="147" t="s">
        <v>218</v>
      </c>
      <c r="F951" s="149">
        <v>2234.1440486290162</v>
      </c>
      <c r="G951" s="148" t="s">
        <v>219</v>
      </c>
    </row>
    <row r="952" spans="1:7">
      <c r="A952" s="147" t="s">
        <v>185</v>
      </c>
      <c r="B952" s="147" t="s">
        <v>255</v>
      </c>
      <c r="C952" s="148" t="s">
        <v>133</v>
      </c>
      <c r="D952" s="147" t="s">
        <v>2</v>
      </c>
      <c r="E952" s="147" t="s">
        <v>218</v>
      </c>
      <c r="F952" s="149">
        <v>2299.3274701953305</v>
      </c>
      <c r="G952" s="148" t="s">
        <v>219</v>
      </c>
    </row>
    <row r="953" spans="1:7">
      <c r="A953" s="147" t="s">
        <v>107</v>
      </c>
      <c r="B953" s="147" t="s">
        <v>255</v>
      </c>
      <c r="C953" s="148" t="s">
        <v>133</v>
      </c>
      <c r="D953" s="147" t="s">
        <v>2</v>
      </c>
      <c r="E953" s="147" t="s">
        <v>218</v>
      </c>
      <c r="F953" s="149">
        <v>2336.8583892709839</v>
      </c>
      <c r="G953" s="148" t="s">
        <v>219</v>
      </c>
    </row>
    <row r="954" spans="1:7">
      <c r="A954" s="147">
        <v>2018</v>
      </c>
      <c r="B954" s="147" t="s">
        <v>255</v>
      </c>
      <c r="C954" s="148" t="s">
        <v>133</v>
      </c>
      <c r="D954" s="147" t="s">
        <v>68</v>
      </c>
      <c r="E954" s="147" t="s">
        <v>218</v>
      </c>
      <c r="F954" s="149">
        <v>457.31415603498272</v>
      </c>
      <c r="G954" s="148" t="s">
        <v>219</v>
      </c>
    </row>
    <row r="955" spans="1:7">
      <c r="A955" s="147">
        <v>2019</v>
      </c>
      <c r="B955" s="147" t="s">
        <v>255</v>
      </c>
      <c r="C955" s="148" t="s">
        <v>133</v>
      </c>
      <c r="D955" s="147" t="s">
        <v>68</v>
      </c>
      <c r="E955" s="147" t="s">
        <v>218</v>
      </c>
      <c r="F955" s="149">
        <v>437.59095852155866</v>
      </c>
      <c r="G955" s="148" t="s">
        <v>219</v>
      </c>
    </row>
    <row r="956" spans="1:7">
      <c r="A956" s="147">
        <v>2020</v>
      </c>
      <c r="B956" s="147" t="s">
        <v>255</v>
      </c>
      <c r="C956" s="148" t="s">
        <v>133</v>
      </c>
      <c r="D956" s="147" t="s">
        <v>68</v>
      </c>
      <c r="E956" s="147" t="s">
        <v>218</v>
      </c>
      <c r="F956" s="149">
        <v>448.75230259089591</v>
      </c>
      <c r="G956" s="148" t="s">
        <v>219</v>
      </c>
    </row>
    <row r="957" spans="1:7">
      <c r="A957" s="147">
        <v>2021</v>
      </c>
      <c r="B957" s="147" t="s">
        <v>255</v>
      </c>
      <c r="C957" s="148" t="s">
        <v>133</v>
      </c>
      <c r="D957" s="147" t="s">
        <v>68</v>
      </c>
      <c r="E957" s="147" t="s">
        <v>218</v>
      </c>
      <c r="F957" s="149">
        <v>424.24043162660098</v>
      </c>
      <c r="G957" s="148" t="s">
        <v>219</v>
      </c>
    </row>
    <row r="958" spans="1:7">
      <c r="A958" s="147">
        <v>2022</v>
      </c>
      <c r="B958" s="147" t="s">
        <v>255</v>
      </c>
      <c r="C958" s="148" t="s">
        <v>133</v>
      </c>
      <c r="D958" s="147" t="s">
        <v>68</v>
      </c>
      <c r="E958" s="147" t="s">
        <v>218</v>
      </c>
      <c r="F958" s="149">
        <v>441.12817075228008</v>
      </c>
      <c r="G958" s="148" t="s">
        <v>219</v>
      </c>
    </row>
    <row r="959" spans="1:7">
      <c r="A959" s="147" t="s">
        <v>185</v>
      </c>
      <c r="B959" s="147" t="s">
        <v>255</v>
      </c>
      <c r="C959" s="148" t="s">
        <v>133</v>
      </c>
      <c r="D959" s="147" t="s">
        <v>68</v>
      </c>
      <c r="E959" s="147" t="s">
        <v>218</v>
      </c>
      <c r="F959" s="149">
        <v>500.39258346985144</v>
      </c>
      <c r="G959" s="148" t="s">
        <v>219</v>
      </c>
    </row>
    <row r="960" spans="1:7">
      <c r="A960" s="147" t="s">
        <v>107</v>
      </c>
      <c r="B960" s="147" t="s">
        <v>255</v>
      </c>
      <c r="C960" s="148" t="s">
        <v>133</v>
      </c>
      <c r="D960" s="147" t="s">
        <v>68</v>
      </c>
      <c r="E960" s="147" t="s">
        <v>218</v>
      </c>
      <c r="F960" s="149">
        <v>542.88938321099249</v>
      </c>
      <c r="G960" s="148" t="s">
        <v>219</v>
      </c>
    </row>
    <row r="961" spans="1:7">
      <c r="A961" s="147">
        <v>2018</v>
      </c>
      <c r="B961" s="147" t="s">
        <v>255</v>
      </c>
      <c r="C961" s="148" t="s">
        <v>133</v>
      </c>
      <c r="D961" s="147" t="s">
        <v>4</v>
      </c>
      <c r="E961" s="147" t="s">
        <v>218</v>
      </c>
      <c r="F961" s="149">
        <v>6502.9009471433292</v>
      </c>
      <c r="G961" s="148" t="s">
        <v>219</v>
      </c>
    </row>
    <row r="962" spans="1:7">
      <c r="A962" s="147">
        <v>2019</v>
      </c>
      <c r="B962" s="147" t="s">
        <v>255</v>
      </c>
      <c r="C962" s="148" t="s">
        <v>133</v>
      </c>
      <c r="D962" s="147" t="s">
        <v>4</v>
      </c>
      <c r="E962" s="147" t="s">
        <v>218</v>
      </c>
      <c r="F962" s="149">
        <v>6475.7360950763159</v>
      </c>
      <c r="G962" s="148" t="s">
        <v>219</v>
      </c>
    </row>
    <row r="963" spans="1:7">
      <c r="A963" s="147">
        <v>2020</v>
      </c>
      <c r="B963" s="147" t="s">
        <v>255</v>
      </c>
      <c r="C963" s="148" t="s">
        <v>133</v>
      </c>
      <c r="D963" s="147" t="s">
        <v>4</v>
      </c>
      <c r="E963" s="147" t="s">
        <v>218</v>
      </c>
      <c r="F963" s="149">
        <v>3340.9718055780118</v>
      </c>
      <c r="G963" s="148" t="s">
        <v>219</v>
      </c>
    </row>
    <row r="964" spans="1:7">
      <c r="A964" s="147">
        <v>2021</v>
      </c>
      <c r="B964" s="147" t="s">
        <v>255</v>
      </c>
      <c r="C964" s="148" t="s">
        <v>133</v>
      </c>
      <c r="D964" s="147" t="s">
        <v>4</v>
      </c>
      <c r="E964" s="147" t="s">
        <v>218</v>
      </c>
      <c r="F964" s="149">
        <v>4298.7278917808717</v>
      </c>
      <c r="G964" s="148" t="s">
        <v>219</v>
      </c>
    </row>
    <row r="965" spans="1:7">
      <c r="A965" s="147">
        <v>2022</v>
      </c>
      <c r="B965" s="147" t="s">
        <v>255</v>
      </c>
      <c r="C965" s="148" t="s">
        <v>133</v>
      </c>
      <c r="D965" s="147" t="s">
        <v>4</v>
      </c>
      <c r="E965" s="147" t="s">
        <v>218</v>
      </c>
      <c r="F965" s="149">
        <v>4482.7525762906025</v>
      </c>
      <c r="G965" s="148" t="s">
        <v>219</v>
      </c>
    </row>
    <row r="966" spans="1:7">
      <c r="A966" s="147" t="s">
        <v>185</v>
      </c>
      <c r="B966" s="147" t="s">
        <v>255</v>
      </c>
      <c r="C966" s="148" t="s">
        <v>133</v>
      </c>
      <c r="D966" s="147" t="s">
        <v>4</v>
      </c>
      <c r="E966" s="147" t="s">
        <v>218</v>
      </c>
      <c r="F966" s="149">
        <v>6299.5808614162306</v>
      </c>
      <c r="G966" s="148" t="s">
        <v>219</v>
      </c>
    </row>
    <row r="967" spans="1:7">
      <c r="A967" s="147" t="s">
        <v>107</v>
      </c>
      <c r="B967" s="147" t="s">
        <v>255</v>
      </c>
      <c r="C967" s="148" t="s">
        <v>133</v>
      </c>
      <c r="D967" s="147" t="s">
        <v>4</v>
      </c>
      <c r="E967" s="147" t="s">
        <v>218</v>
      </c>
      <c r="F967" s="149">
        <v>6283.9530141396417</v>
      </c>
      <c r="G967" s="148" t="s">
        <v>219</v>
      </c>
    </row>
    <row r="968" spans="1:7">
      <c r="A968" s="147">
        <v>2018</v>
      </c>
      <c r="B968" s="147" t="s">
        <v>255</v>
      </c>
      <c r="C968" s="148" t="s">
        <v>133</v>
      </c>
      <c r="D968" s="147" t="s">
        <v>5</v>
      </c>
      <c r="E968" s="147" t="s">
        <v>218</v>
      </c>
      <c r="F968" s="149">
        <v>7707.3456717953268</v>
      </c>
      <c r="G968" s="148" t="s">
        <v>219</v>
      </c>
    </row>
    <row r="969" spans="1:7">
      <c r="A969" s="147">
        <v>2019</v>
      </c>
      <c r="B969" s="147" t="s">
        <v>255</v>
      </c>
      <c r="C969" s="148" t="s">
        <v>133</v>
      </c>
      <c r="D969" s="147" t="s">
        <v>5</v>
      </c>
      <c r="E969" s="147" t="s">
        <v>218</v>
      </c>
      <c r="F969" s="149">
        <v>7825.9393166467671</v>
      </c>
      <c r="G969" s="148" t="s">
        <v>219</v>
      </c>
    </row>
    <row r="970" spans="1:7">
      <c r="A970" s="147">
        <v>2020</v>
      </c>
      <c r="B970" s="147" t="s">
        <v>255</v>
      </c>
      <c r="C970" s="148" t="s">
        <v>133</v>
      </c>
      <c r="D970" s="147" t="s">
        <v>5</v>
      </c>
      <c r="E970" s="147" t="s">
        <v>218</v>
      </c>
      <c r="F970" s="149">
        <v>6133.0195058765285</v>
      </c>
      <c r="G970" s="148" t="s">
        <v>219</v>
      </c>
    </row>
    <row r="971" spans="1:7">
      <c r="A971" s="147">
        <v>2021</v>
      </c>
      <c r="B971" s="147" t="s">
        <v>255</v>
      </c>
      <c r="C971" s="148" t="s">
        <v>133</v>
      </c>
      <c r="D971" s="147" t="s">
        <v>5</v>
      </c>
      <c r="E971" s="147" t="s">
        <v>218</v>
      </c>
      <c r="F971" s="149">
        <v>8099.3433064319752</v>
      </c>
      <c r="G971" s="148" t="s">
        <v>219</v>
      </c>
    </row>
    <row r="972" spans="1:7">
      <c r="A972" s="147">
        <v>2022</v>
      </c>
      <c r="B972" s="147" t="s">
        <v>255</v>
      </c>
      <c r="C972" s="148" t="s">
        <v>133</v>
      </c>
      <c r="D972" s="147" t="s">
        <v>5</v>
      </c>
      <c r="E972" s="147" t="s">
        <v>218</v>
      </c>
      <c r="F972" s="149">
        <v>9732.4092918562601</v>
      </c>
      <c r="G972" s="148" t="s">
        <v>219</v>
      </c>
    </row>
    <row r="973" spans="1:7">
      <c r="A973" s="147" t="s">
        <v>185</v>
      </c>
      <c r="B973" s="147" t="s">
        <v>255</v>
      </c>
      <c r="C973" s="148" t="s">
        <v>133</v>
      </c>
      <c r="D973" s="147" t="s">
        <v>5</v>
      </c>
      <c r="E973" s="147" t="s">
        <v>218</v>
      </c>
      <c r="F973" s="149">
        <v>10773.472240970063</v>
      </c>
      <c r="G973" s="148" t="s">
        <v>219</v>
      </c>
    </row>
    <row r="974" spans="1:7">
      <c r="A974" s="147" t="s">
        <v>107</v>
      </c>
      <c r="B974" s="147" t="s">
        <v>255</v>
      </c>
      <c r="C974" s="148" t="s">
        <v>133</v>
      </c>
      <c r="D974" s="147" t="s">
        <v>5</v>
      </c>
      <c r="E974" s="147" t="s">
        <v>218</v>
      </c>
      <c r="F974" s="149">
        <v>11391.149758055102</v>
      </c>
      <c r="G974" s="148" t="s">
        <v>219</v>
      </c>
    </row>
    <row r="975" spans="1:7">
      <c r="A975" s="147">
        <v>2018</v>
      </c>
      <c r="B975" s="147" t="s">
        <v>255</v>
      </c>
      <c r="C975" s="148" t="s">
        <v>133</v>
      </c>
      <c r="D975" s="147" t="s">
        <v>6</v>
      </c>
      <c r="E975" s="147" t="s">
        <v>218</v>
      </c>
      <c r="F975" s="149">
        <v>3874.1653040150395</v>
      </c>
      <c r="G975" s="148" t="s">
        <v>219</v>
      </c>
    </row>
    <row r="976" spans="1:7">
      <c r="A976" s="147">
        <v>2019</v>
      </c>
      <c r="B976" s="147" t="s">
        <v>255</v>
      </c>
      <c r="C976" s="148" t="s">
        <v>133</v>
      </c>
      <c r="D976" s="147" t="s">
        <v>6</v>
      </c>
      <c r="E976" s="147" t="s">
        <v>218</v>
      </c>
      <c r="F976" s="149">
        <v>4107.389825965729</v>
      </c>
      <c r="G976" s="148" t="s">
        <v>219</v>
      </c>
    </row>
    <row r="977" spans="1:7">
      <c r="A977" s="147">
        <v>2020</v>
      </c>
      <c r="B977" s="147" t="s">
        <v>255</v>
      </c>
      <c r="C977" s="148" t="s">
        <v>133</v>
      </c>
      <c r="D977" s="147" t="s">
        <v>6</v>
      </c>
      <c r="E977" s="147" t="s">
        <v>218</v>
      </c>
      <c r="F977" s="149">
        <v>2923.6313190578699</v>
      </c>
      <c r="G977" s="148" t="s">
        <v>219</v>
      </c>
    </row>
    <row r="978" spans="1:7">
      <c r="A978" s="147">
        <v>2021</v>
      </c>
      <c r="B978" s="147" t="s">
        <v>255</v>
      </c>
      <c r="C978" s="148" t="s">
        <v>133</v>
      </c>
      <c r="D978" s="147" t="s">
        <v>6</v>
      </c>
      <c r="E978" s="147" t="s">
        <v>218</v>
      </c>
      <c r="F978" s="149">
        <v>3457.3368347353726</v>
      </c>
      <c r="G978" s="148" t="s">
        <v>219</v>
      </c>
    </row>
    <row r="979" spans="1:7">
      <c r="A979" s="147">
        <v>2022</v>
      </c>
      <c r="B979" s="147" t="s">
        <v>255</v>
      </c>
      <c r="C979" s="148" t="s">
        <v>133</v>
      </c>
      <c r="D979" s="147" t="s">
        <v>6</v>
      </c>
      <c r="E979" s="147" t="s">
        <v>218</v>
      </c>
      <c r="F979" s="149">
        <v>4357.6547651013179</v>
      </c>
      <c r="G979" s="148" t="s">
        <v>219</v>
      </c>
    </row>
    <row r="980" spans="1:7">
      <c r="A980" s="147" t="s">
        <v>185</v>
      </c>
      <c r="B980" s="147" t="s">
        <v>255</v>
      </c>
      <c r="C980" s="148" t="s">
        <v>133</v>
      </c>
      <c r="D980" s="147" t="s">
        <v>6</v>
      </c>
      <c r="E980" s="147" t="s">
        <v>218</v>
      </c>
      <c r="F980" s="149">
        <v>4798.8288945039276</v>
      </c>
      <c r="G980" s="148" t="s">
        <v>219</v>
      </c>
    </row>
    <row r="981" spans="1:7">
      <c r="A981" s="147" t="s">
        <v>107</v>
      </c>
      <c r="B981" s="147" t="s">
        <v>255</v>
      </c>
      <c r="C981" s="148" t="s">
        <v>133</v>
      </c>
      <c r="D981" s="147" t="s">
        <v>6</v>
      </c>
      <c r="E981" s="147" t="s">
        <v>218</v>
      </c>
      <c r="F981" s="149">
        <v>5392.4901784717558</v>
      </c>
      <c r="G981" s="148" t="s">
        <v>219</v>
      </c>
    </row>
    <row r="982" spans="1:7">
      <c r="A982" s="147">
        <v>2018</v>
      </c>
      <c r="B982" s="147" t="s">
        <v>255</v>
      </c>
      <c r="C982" s="148" t="s">
        <v>133</v>
      </c>
      <c r="D982" s="147" t="s">
        <v>7</v>
      </c>
      <c r="E982" s="147" t="s">
        <v>218</v>
      </c>
      <c r="F982" s="149">
        <v>1640.9300546414129</v>
      </c>
      <c r="G982" s="148" t="s">
        <v>219</v>
      </c>
    </row>
    <row r="983" spans="1:7">
      <c r="A983" s="147">
        <v>2019</v>
      </c>
      <c r="B983" s="147" t="s">
        <v>255</v>
      </c>
      <c r="C983" s="148" t="s">
        <v>133</v>
      </c>
      <c r="D983" s="147" t="s">
        <v>7</v>
      </c>
      <c r="E983" s="147" t="s">
        <v>218</v>
      </c>
      <c r="F983" s="149">
        <v>1690.8028489345777</v>
      </c>
      <c r="G983" s="148" t="s">
        <v>219</v>
      </c>
    </row>
    <row r="984" spans="1:7">
      <c r="A984" s="147">
        <v>2020</v>
      </c>
      <c r="B984" s="147" t="s">
        <v>255</v>
      </c>
      <c r="C984" s="148" t="s">
        <v>133</v>
      </c>
      <c r="D984" s="147" t="s">
        <v>7</v>
      </c>
      <c r="E984" s="147" t="s">
        <v>218</v>
      </c>
      <c r="F984" s="149">
        <v>624.69371951663936</v>
      </c>
      <c r="G984" s="148" t="s">
        <v>219</v>
      </c>
    </row>
    <row r="985" spans="1:7">
      <c r="A985" s="147">
        <v>2021</v>
      </c>
      <c r="B985" s="147" t="s">
        <v>255</v>
      </c>
      <c r="C985" s="148" t="s">
        <v>133</v>
      </c>
      <c r="D985" s="147" t="s">
        <v>7</v>
      </c>
      <c r="E985" s="147" t="s">
        <v>218</v>
      </c>
      <c r="F985" s="149">
        <v>807.56581624166211</v>
      </c>
      <c r="G985" s="148" t="s">
        <v>219</v>
      </c>
    </row>
    <row r="986" spans="1:7">
      <c r="A986" s="147">
        <v>2022</v>
      </c>
      <c r="B986" s="147" t="s">
        <v>255</v>
      </c>
      <c r="C986" s="148" t="s">
        <v>133</v>
      </c>
      <c r="D986" s="147" t="s">
        <v>7</v>
      </c>
      <c r="E986" s="147" t="s">
        <v>218</v>
      </c>
      <c r="F986" s="149">
        <v>1046.5392186800789</v>
      </c>
      <c r="G986" s="148" t="s">
        <v>219</v>
      </c>
    </row>
    <row r="987" spans="1:7">
      <c r="A987" s="147" t="s">
        <v>185</v>
      </c>
      <c r="B987" s="147" t="s">
        <v>255</v>
      </c>
      <c r="C987" s="148" t="s">
        <v>133</v>
      </c>
      <c r="D987" s="147" t="s">
        <v>7</v>
      </c>
      <c r="E987" s="147" t="s">
        <v>218</v>
      </c>
      <c r="F987" s="149">
        <v>1146.0119921546695</v>
      </c>
      <c r="G987" s="148" t="s">
        <v>219</v>
      </c>
    </row>
    <row r="988" spans="1:7">
      <c r="A988" s="147" t="s">
        <v>107</v>
      </c>
      <c r="B988" s="147" t="s">
        <v>255</v>
      </c>
      <c r="C988" s="148" t="s">
        <v>133</v>
      </c>
      <c r="D988" s="147" t="s">
        <v>7</v>
      </c>
      <c r="E988" s="147" t="s">
        <v>218</v>
      </c>
      <c r="F988" s="149">
        <v>1230.7917910925207</v>
      </c>
      <c r="G988" s="148" t="s">
        <v>219</v>
      </c>
    </row>
    <row r="989" spans="1:7">
      <c r="A989" s="147">
        <v>2018</v>
      </c>
      <c r="B989" s="147" t="s">
        <v>255</v>
      </c>
      <c r="C989" s="148" t="s">
        <v>133</v>
      </c>
      <c r="D989" s="147" t="s">
        <v>8</v>
      </c>
      <c r="E989" s="147" t="s">
        <v>218</v>
      </c>
      <c r="F989" s="149">
        <v>612.31940951075308</v>
      </c>
      <c r="G989" s="148" t="s">
        <v>219</v>
      </c>
    </row>
    <row r="990" spans="1:7">
      <c r="A990" s="147">
        <v>2019</v>
      </c>
      <c r="B990" s="147" t="s">
        <v>255</v>
      </c>
      <c r="C990" s="148" t="s">
        <v>133</v>
      </c>
      <c r="D990" s="147" t="s">
        <v>8</v>
      </c>
      <c r="E990" s="147" t="s">
        <v>218</v>
      </c>
      <c r="F990" s="149">
        <v>615.0373138383593</v>
      </c>
      <c r="G990" s="148" t="s">
        <v>219</v>
      </c>
    </row>
    <row r="991" spans="1:7">
      <c r="A991" s="147">
        <v>2020</v>
      </c>
      <c r="B991" s="147" t="s">
        <v>255</v>
      </c>
      <c r="C991" s="148" t="s">
        <v>133</v>
      </c>
      <c r="D991" s="147" t="s">
        <v>8</v>
      </c>
      <c r="E991" s="147" t="s">
        <v>218</v>
      </c>
      <c r="F991" s="149">
        <v>628.22031074426957</v>
      </c>
      <c r="G991" s="148" t="s">
        <v>219</v>
      </c>
    </row>
    <row r="992" spans="1:7">
      <c r="A992" s="147">
        <v>2021</v>
      </c>
      <c r="B992" s="147" t="s">
        <v>255</v>
      </c>
      <c r="C992" s="148" t="s">
        <v>133</v>
      </c>
      <c r="D992" s="147" t="s">
        <v>8</v>
      </c>
      <c r="E992" s="147" t="s">
        <v>218</v>
      </c>
      <c r="F992" s="149">
        <v>666.50190968668949</v>
      </c>
      <c r="G992" s="148" t="s">
        <v>219</v>
      </c>
    </row>
    <row r="993" spans="1:7">
      <c r="A993" s="147">
        <v>2022</v>
      </c>
      <c r="B993" s="147" t="s">
        <v>255</v>
      </c>
      <c r="C993" s="148" t="s">
        <v>133</v>
      </c>
      <c r="D993" s="147" t="s">
        <v>8</v>
      </c>
      <c r="E993" s="147" t="s">
        <v>218</v>
      </c>
      <c r="F993" s="149">
        <v>655.30708451702208</v>
      </c>
      <c r="G993" s="148" t="s">
        <v>219</v>
      </c>
    </row>
    <row r="994" spans="1:7">
      <c r="A994" s="147" t="s">
        <v>185</v>
      </c>
      <c r="B994" s="147" t="s">
        <v>255</v>
      </c>
      <c r="C994" s="148" t="s">
        <v>133</v>
      </c>
      <c r="D994" s="147" t="s">
        <v>8</v>
      </c>
      <c r="E994" s="147" t="s">
        <v>218</v>
      </c>
      <c r="F994" s="149">
        <v>707.18480680272705</v>
      </c>
      <c r="G994" s="148" t="s">
        <v>219</v>
      </c>
    </row>
    <row r="995" spans="1:7">
      <c r="A995" s="147" t="s">
        <v>107</v>
      </c>
      <c r="B995" s="147" t="s">
        <v>255</v>
      </c>
      <c r="C995" s="148" t="s">
        <v>133</v>
      </c>
      <c r="D995" s="147" t="s">
        <v>8</v>
      </c>
      <c r="E995" s="147" t="s">
        <v>218</v>
      </c>
      <c r="F995" s="149">
        <v>745.56571971503649</v>
      </c>
      <c r="G995" s="148" t="s">
        <v>219</v>
      </c>
    </row>
    <row r="996" spans="1:7">
      <c r="A996" s="147">
        <v>2018</v>
      </c>
      <c r="B996" s="147" t="s">
        <v>255</v>
      </c>
      <c r="C996" s="148" t="s">
        <v>133</v>
      </c>
      <c r="D996" s="147" t="s">
        <v>9</v>
      </c>
      <c r="E996" s="147" t="s">
        <v>218</v>
      </c>
      <c r="F996" s="149">
        <v>3544.6708908323158</v>
      </c>
      <c r="G996" s="148" t="s">
        <v>219</v>
      </c>
    </row>
    <row r="997" spans="1:7">
      <c r="A997" s="147">
        <v>2019</v>
      </c>
      <c r="B997" s="147" t="s">
        <v>255</v>
      </c>
      <c r="C997" s="148" t="s">
        <v>133</v>
      </c>
      <c r="D997" s="147" t="s">
        <v>9</v>
      </c>
      <c r="E997" s="147" t="s">
        <v>218</v>
      </c>
      <c r="F997" s="149">
        <v>3597.2969724658019</v>
      </c>
      <c r="G997" s="148" t="s">
        <v>219</v>
      </c>
    </row>
    <row r="998" spans="1:7">
      <c r="A998" s="147">
        <v>2020</v>
      </c>
      <c r="B998" s="147" t="s">
        <v>255</v>
      </c>
      <c r="C998" s="148" t="s">
        <v>133</v>
      </c>
      <c r="D998" s="147" t="s">
        <v>9</v>
      </c>
      <c r="E998" s="147" t="s">
        <v>218</v>
      </c>
      <c r="F998" s="149">
        <v>3575.8774694342756</v>
      </c>
      <c r="G998" s="148" t="s">
        <v>219</v>
      </c>
    </row>
    <row r="999" spans="1:7">
      <c r="A999" s="147">
        <v>2021</v>
      </c>
      <c r="B999" s="147" t="s">
        <v>255</v>
      </c>
      <c r="C999" s="148" t="s">
        <v>133</v>
      </c>
      <c r="D999" s="147" t="s">
        <v>9</v>
      </c>
      <c r="E999" s="147" t="s">
        <v>218</v>
      </c>
      <c r="F999" s="149">
        <v>3781.521323455866</v>
      </c>
      <c r="G999" s="148" t="s">
        <v>219</v>
      </c>
    </row>
    <row r="1000" spans="1:7">
      <c r="A1000" s="147">
        <v>2022</v>
      </c>
      <c r="B1000" s="147" t="s">
        <v>255</v>
      </c>
      <c r="C1000" s="148" t="s">
        <v>133</v>
      </c>
      <c r="D1000" s="147" t="s">
        <v>9</v>
      </c>
      <c r="E1000" s="147" t="s">
        <v>218</v>
      </c>
      <c r="F1000" s="149">
        <v>3862.0774146792419</v>
      </c>
      <c r="G1000" s="148" t="s">
        <v>219</v>
      </c>
    </row>
    <row r="1001" spans="1:7">
      <c r="A1001" s="147" t="s">
        <v>185</v>
      </c>
      <c r="B1001" s="147" t="s">
        <v>255</v>
      </c>
      <c r="C1001" s="148" t="s">
        <v>133</v>
      </c>
      <c r="D1001" s="147" t="s">
        <v>9</v>
      </c>
      <c r="E1001" s="147" t="s">
        <v>218</v>
      </c>
      <c r="F1001" s="149">
        <v>3909.1054989262279</v>
      </c>
      <c r="G1001" s="148" t="s">
        <v>219</v>
      </c>
    </row>
    <row r="1002" spans="1:7">
      <c r="A1002" s="147" t="s">
        <v>107</v>
      </c>
      <c r="B1002" s="147" t="s">
        <v>255</v>
      </c>
      <c r="C1002" s="148" t="s">
        <v>133</v>
      </c>
      <c r="D1002" s="147" t="s">
        <v>9</v>
      </c>
      <c r="E1002" s="147" t="s">
        <v>218</v>
      </c>
      <c r="F1002" s="149">
        <v>4069.5444866456091</v>
      </c>
      <c r="G1002" s="148" t="s">
        <v>219</v>
      </c>
    </row>
    <row r="1003" spans="1:7">
      <c r="A1003" s="147">
        <v>2018</v>
      </c>
      <c r="B1003" s="147" t="s">
        <v>255</v>
      </c>
      <c r="C1003" s="148" t="s">
        <v>133</v>
      </c>
      <c r="D1003" s="147" t="s">
        <v>70</v>
      </c>
      <c r="E1003" s="147" t="s">
        <v>218</v>
      </c>
      <c r="F1003" s="149">
        <v>7228.3493315843361</v>
      </c>
      <c r="G1003" s="148" t="s">
        <v>219</v>
      </c>
    </row>
    <row r="1004" spans="1:7">
      <c r="A1004" s="147">
        <v>2019</v>
      </c>
      <c r="B1004" s="147" t="s">
        <v>255</v>
      </c>
      <c r="C1004" s="148" t="s">
        <v>133</v>
      </c>
      <c r="D1004" s="147" t="s">
        <v>70</v>
      </c>
      <c r="E1004" s="147" t="s">
        <v>218</v>
      </c>
      <c r="F1004" s="149">
        <v>7430.9585687902672</v>
      </c>
      <c r="G1004" s="148" t="s">
        <v>219</v>
      </c>
    </row>
    <row r="1005" spans="1:7">
      <c r="A1005" s="147">
        <v>2020</v>
      </c>
      <c r="B1005" s="147" t="s">
        <v>255</v>
      </c>
      <c r="C1005" s="148" t="s">
        <v>133</v>
      </c>
      <c r="D1005" s="147" t="s">
        <v>70</v>
      </c>
      <c r="E1005" s="147" t="s">
        <v>218</v>
      </c>
      <c r="F1005" s="149">
        <v>7087.7271937111691</v>
      </c>
      <c r="G1005" s="148" t="s">
        <v>219</v>
      </c>
    </row>
    <row r="1006" spans="1:7">
      <c r="A1006" s="147">
        <v>2021</v>
      </c>
      <c r="B1006" s="147" t="s">
        <v>255</v>
      </c>
      <c r="C1006" s="148" t="s">
        <v>133</v>
      </c>
      <c r="D1006" s="147" t="s">
        <v>70</v>
      </c>
      <c r="E1006" s="147" t="s">
        <v>218</v>
      </c>
      <c r="F1006" s="149">
        <v>7725.3483054850531</v>
      </c>
      <c r="G1006" s="148" t="s">
        <v>219</v>
      </c>
    </row>
    <row r="1007" spans="1:7">
      <c r="A1007" s="147">
        <v>2022</v>
      </c>
      <c r="B1007" s="147" t="s">
        <v>255</v>
      </c>
      <c r="C1007" s="148" t="s">
        <v>133</v>
      </c>
      <c r="D1007" s="147" t="s">
        <v>70</v>
      </c>
      <c r="E1007" s="147" t="s">
        <v>218</v>
      </c>
      <c r="F1007" s="149">
        <v>8229.3577089928549</v>
      </c>
      <c r="G1007" s="148" t="s">
        <v>219</v>
      </c>
    </row>
    <row r="1008" spans="1:7">
      <c r="A1008" s="147" t="s">
        <v>185</v>
      </c>
      <c r="B1008" s="147" t="s">
        <v>255</v>
      </c>
      <c r="C1008" s="148" t="s">
        <v>133</v>
      </c>
      <c r="D1008" s="147" t="s">
        <v>70</v>
      </c>
      <c r="E1008" s="147" t="s">
        <v>218</v>
      </c>
      <c r="F1008" s="149">
        <v>8689.3359324763369</v>
      </c>
      <c r="G1008" s="148" t="s">
        <v>219</v>
      </c>
    </row>
    <row r="1009" spans="1:7">
      <c r="A1009" s="147" t="s">
        <v>107</v>
      </c>
      <c r="B1009" s="147" t="s">
        <v>255</v>
      </c>
      <c r="C1009" s="148" t="s">
        <v>133</v>
      </c>
      <c r="D1009" s="147" t="s">
        <v>70</v>
      </c>
      <c r="E1009" s="147" t="s">
        <v>218</v>
      </c>
      <c r="F1009" s="149">
        <v>9106.6189305681401</v>
      </c>
      <c r="G1009" s="148" t="s">
        <v>219</v>
      </c>
    </row>
    <row r="1010" spans="1:7">
      <c r="A1010" s="147">
        <v>2018</v>
      </c>
      <c r="B1010" s="147" t="s">
        <v>255</v>
      </c>
      <c r="C1010" s="148" t="s">
        <v>133</v>
      </c>
      <c r="D1010" s="147" t="s">
        <v>10</v>
      </c>
      <c r="E1010" s="147" t="s">
        <v>218</v>
      </c>
      <c r="F1010" s="149">
        <v>558.64818850548158</v>
      </c>
      <c r="G1010" s="148" t="s">
        <v>219</v>
      </c>
    </row>
    <row r="1011" spans="1:7">
      <c r="A1011" s="147">
        <v>2019</v>
      </c>
      <c r="B1011" s="147" t="s">
        <v>255</v>
      </c>
      <c r="C1011" s="148" t="s">
        <v>133</v>
      </c>
      <c r="D1011" s="147" t="s">
        <v>10</v>
      </c>
      <c r="E1011" s="147" t="s">
        <v>218</v>
      </c>
      <c r="F1011" s="149">
        <v>585.09607331688665</v>
      </c>
      <c r="G1011" s="148" t="s">
        <v>219</v>
      </c>
    </row>
    <row r="1012" spans="1:7">
      <c r="A1012" s="147">
        <v>2020</v>
      </c>
      <c r="B1012" s="147" t="s">
        <v>255</v>
      </c>
      <c r="C1012" s="148" t="s">
        <v>133</v>
      </c>
      <c r="D1012" s="147" t="s">
        <v>10</v>
      </c>
      <c r="E1012" s="147" t="s">
        <v>218</v>
      </c>
      <c r="F1012" s="149">
        <v>541.68313432978437</v>
      </c>
      <c r="G1012" s="148" t="s">
        <v>219</v>
      </c>
    </row>
    <row r="1013" spans="1:7">
      <c r="A1013" s="147">
        <v>2021</v>
      </c>
      <c r="B1013" s="147" t="s">
        <v>255</v>
      </c>
      <c r="C1013" s="148" t="s">
        <v>133</v>
      </c>
      <c r="D1013" s="147" t="s">
        <v>10</v>
      </c>
      <c r="E1013" s="147" t="s">
        <v>218</v>
      </c>
      <c r="F1013" s="149">
        <v>539.41581219561044</v>
      </c>
      <c r="G1013" s="148" t="s">
        <v>219</v>
      </c>
    </row>
    <row r="1014" spans="1:7">
      <c r="A1014" s="147">
        <v>2022</v>
      </c>
      <c r="B1014" s="147" t="s">
        <v>255</v>
      </c>
      <c r="C1014" s="148" t="s">
        <v>133</v>
      </c>
      <c r="D1014" s="147" t="s">
        <v>10</v>
      </c>
      <c r="E1014" s="147" t="s">
        <v>218</v>
      </c>
      <c r="F1014" s="149">
        <v>610.17101603398805</v>
      </c>
      <c r="G1014" s="148" t="s">
        <v>219</v>
      </c>
    </row>
    <row r="1015" spans="1:7">
      <c r="A1015" s="147" t="s">
        <v>185</v>
      </c>
      <c r="B1015" s="147" t="s">
        <v>255</v>
      </c>
      <c r="C1015" s="148" t="s">
        <v>133</v>
      </c>
      <c r="D1015" s="147" t="s">
        <v>10</v>
      </c>
      <c r="E1015" s="147" t="s">
        <v>218</v>
      </c>
      <c r="F1015" s="149">
        <v>668.32600160174741</v>
      </c>
      <c r="G1015" s="148" t="s">
        <v>219</v>
      </c>
    </row>
    <row r="1016" spans="1:7">
      <c r="A1016" s="147" t="s">
        <v>107</v>
      </c>
      <c r="B1016" s="147" t="s">
        <v>255</v>
      </c>
      <c r="C1016" s="148" t="s">
        <v>133</v>
      </c>
      <c r="D1016" s="147" t="s">
        <v>10</v>
      </c>
      <c r="E1016" s="147" t="s">
        <v>218</v>
      </c>
      <c r="F1016" s="149">
        <v>704.80460620966244</v>
      </c>
      <c r="G1016" s="148" t="s">
        <v>219</v>
      </c>
    </row>
    <row r="1017" spans="1:7">
      <c r="A1017" s="147">
        <v>2018</v>
      </c>
      <c r="B1017" s="147" t="s">
        <v>255</v>
      </c>
      <c r="C1017" s="148" t="s">
        <v>133</v>
      </c>
      <c r="D1017" s="147" t="s">
        <v>59</v>
      </c>
      <c r="E1017" s="147" t="s">
        <v>218</v>
      </c>
      <c r="F1017" s="149">
        <v>596.70306169541357</v>
      </c>
      <c r="G1017" s="148" t="s">
        <v>219</v>
      </c>
    </row>
    <row r="1018" spans="1:7">
      <c r="A1018" s="147">
        <v>2019</v>
      </c>
      <c r="B1018" s="147" t="s">
        <v>255</v>
      </c>
      <c r="C1018" s="148" t="s">
        <v>133</v>
      </c>
      <c r="D1018" s="147" t="s">
        <v>59</v>
      </c>
      <c r="E1018" s="147" t="s">
        <v>218</v>
      </c>
      <c r="F1018" s="149">
        <v>616.35491459282366</v>
      </c>
      <c r="G1018" s="148" t="s">
        <v>219</v>
      </c>
    </row>
    <row r="1019" spans="1:7">
      <c r="A1019" s="147">
        <v>2020</v>
      </c>
      <c r="B1019" s="147" t="s">
        <v>255</v>
      </c>
      <c r="C1019" s="148" t="s">
        <v>133</v>
      </c>
      <c r="D1019" s="147" t="s">
        <v>59</v>
      </c>
      <c r="E1019" s="147" t="s">
        <v>218</v>
      </c>
      <c r="F1019" s="149">
        <v>668.48234328635965</v>
      </c>
      <c r="G1019" s="148" t="s">
        <v>219</v>
      </c>
    </row>
    <row r="1020" spans="1:7">
      <c r="A1020" s="147">
        <v>2021</v>
      </c>
      <c r="B1020" s="147" t="s">
        <v>255</v>
      </c>
      <c r="C1020" s="148" t="s">
        <v>133</v>
      </c>
      <c r="D1020" s="147" t="s">
        <v>59</v>
      </c>
      <c r="E1020" s="147" t="s">
        <v>218</v>
      </c>
      <c r="F1020" s="149">
        <v>665.39268379254031</v>
      </c>
      <c r="G1020" s="148" t="s">
        <v>219</v>
      </c>
    </row>
    <row r="1021" spans="1:7">
      <c r="A1021" s="147">
        <v>2022</v>
      </c>
      <c r="B1021" s="147" t="s">
        <v>255</v>
      </c>
      <c r="C1021" s="148" t="s">
        <v>133</v>
      </c>
      <c r="D1021" s="147" t="s">
        <v>59</v>
      </c>
      <c r="E1021" s="147" t="s">
        <v>218</v>
      </c>
      <c r="F1021" s="149">
        <v>700.90726226151412</v>
      </c>
      <c r="G1021" s="148" t="s">
        <v>219</v>
      </c>
    </row>
    <row r="1022" spans="1:7">
      <c r="A1022" s="147" t="s">
        <v>185</v>
      </c>
      <c r="B1022" s="147" t="s">
        <v>255</v>
      </c>
      <c r="C1022" s="148" t="s">
        <v>133</v>
      </c>
      <c r="D1022" s="147" t="s">
        <v>59</v>
      </c>
      <c r="E1022" s="147" t="s">
        <v>218</v>
      </c>
      <c r="F1022" s="149">
        <v>700.7171072560044</v>
      </c>
      <c r="G1022" s="148" t="s">
        <v>219</v>
      </c>
    </row>
    <row r="1023" spans="1:7">
      <c r="A1023" s="147" t="s">
        <v>107</v>
      </c>
      <c r="B1023" s="147" t="s">
        <v>255</v>
      </c>
      <c r="C1023" s="148" t="s">
        <v>133</v>
      </c>
      <c r="D1023" s="147" t="s">
        <v>59</v>
      </c>
      <c r="E1023" s="147" t="s">
        <v>218</v>
      </c>
      <c r="F1023" s="149">
        <v>726.6751328924621</v>
      </c>
      <c r="G1023" s="148" t="s">
        <v>219</v>
      </c>
    </row>
    <row r="1024" spans="1:7">
      <c r="A1024" s="147">
        <v>2018</v>
      </c>
      <c r="B1024" s="147" t="s">
        <v>255</v>
      </c>
      <c r="C1024" s="148" t="s">
        <v>133</v>
      </c>
      <c r="D1024" s="147" t="s">
        <v>66</v>
      </c>
      <c r="E1024" s="147" t="s">
        <v>218</v>
      </c>
      <c r="F1024" s="149">
        <v>811.56856424160208</v>
      </c>
      <c r="G1024" s="148" t="s">
        <v>219</v>
      </c>
    </row>
    <row r="1025" spans="1:7">
      <c r="A1025" s="147">
        <v>2019</v>
      </c>
      <c r="B1025" s="147" t="s">
        <v>255</v>
      </c>
      <c r="C1025" s="148" t="s">
        <v>133</v>
      </c>
      <c r="D1025" s="147" t="s">
        <v>66</v>
      </c>
      <c r="E1025" s="147" t="s">
        <v>218</v>
      </c>
      <c r="F1025" s="149">
        <v>814.51205933228493</v>
      </c>
      <c r="G1025" s="148" t="s">
        <v>219</v>
      </c>
    </row>
    <row r="1026" spans="1:7">
      <c r="A1026" s="147">
        <v>2020</v>
      </c>
      <c r="B1026" s="147" t="s">
        <v>255</v>
      </c>
      <c r="C1026" s="148" t="s">
        <v>133</v>
      </c>
      <c r="D1026" s="147" t="s">
        <v>66</v>
      </c>
      <c r="E1026" s="147" t="s">
        <v>218</v>
      </c>
      <c r="F1026" s="149">
        <v>437.02161639860185</v>
      </c>
      <c r="G1026" s="148" t="s">
        <v>219</v>
      </c>
    </row>
    <row r="1027" spans="1:7">
      <c r="A1027" s="147">
        <v>2021</v>
      </c>
      <c r="B1027" s="147" t="s">
        <v>255</v>
      </c>
      <c r="C1027" s="148" t="s">
        <v>133</v>
      </c>
      <c r="D1027" s="147" t="s">
        <v>66</v>
      </c>
      <c r="E1027" s="147" t="s">
        <v>218</v>
      </c>
      <c r="F1027" s="149">
        <v>604.07640278152689</v>
      </c>
      <c r="G1027" s="148" t="s">
        <v>219</v>
      </c>
    </row>
    <row r="1028" spans="1:7">
      <c r="A1028" s="147">
        <v>2022</v>
      </c>
      <c r="B1028" s="147" t="s">
        <v>255</v>
      </c>
      <c r="C1028" s="148" t="s">
        <v>133</v>
      </c>
      <c r="D1028" s="147" t="s">
        <v>66</v>
      </c>
      <c r="E1028" s="147" t="s">
        <v>218</v>
      </c>
      <c r="F1028" s="149">
        <v>759.10667265500365</v>
      </c>
      <c r="G1028" s="148" t="s">
        <v>219</v>
      </c>
    </row>
    <row r="1029" spans="1:7">
      <c r="A1029" s="147" t="s">
        <v>185</v>
      </c>
      <c r="B1029" s="147" t="s">
        <v>255</v>
      </c>
      <c r="C1029" s="148" t="s">
        <v>133</v>
      </c>
      <c r="D1029" s="147" t="s">
        <v>66</v>
      </c>
      <c r="E1029" s="147" t="s">
        <v>218</v>
      </c>
      <c r="F1029" s="149">
        <v>831.52289770836023</v>
      </c>
      <c r="G1029" s="148" t="s">
        <v>219</v>
      </c>
    </row>
    <row r="1030" spans="1:7">
      <c r="A1030" s="147" t="s">
        <v>107</v>
      </c>
      <c r="B1030" s="147" t="s">
        <v>255</v>
      </c>
      <c r="C1030" s="148" t="s">
        <v>133</v>
      </c>
      <c r="D1030" s="147" t="s">
        <v>66</v>
      </c>
      <c r="E1030" s="147" t="s">
        <v>218</v>
      </c>
      <c r="F1030" s="149">
        <v>901.29897408699878</v>
      </c>
      <c r="G1030" s="148" t="s">
        <v>219</v>
      </c>
    </row>
    <row r="1031" spans="1:7">
      <c r="A1031" s="147">
        <v>2018</v>
      </c>
      <c r="B1031" s="147" t="s">
        <v>255</v>
      </c>
      <c r="C1031" s="148" t="s">
        <v>133</v>
      </c>
      <c r="D1031" s="147" t="s">
        <v>61</v>
      </c>
      <c r="E1031" s="147" t="s">
        <v>218</v>
      </c>
      <c r="F1031" s="149">
        <v>140.71325343219948</v>
      </c>
      <c r="G1031" s="148" t="s">
        <v>219</v>
      </c>
    </row>
    <row r="1032" spans="1:7">
      <c r="A1032" s="147">
        <v>2019</v>
      </c>
      <c r="B1032" s="147" t="s">
        <v>255</v>
      </c>
      <c r="C1032" s="148" t="s">
        <v>133</v>
      </c>
      <c r="D1032" s="147" t="s">
        <v>61</v>
      </c>
      <c r="E1032" s="147" t="s">
        <v>218</v>
      </c>
      <c r="F1032" s="149">
        <v>135.81190139381798</v>
      </c>
      <c r="G1032" s="148" t="s">
        <v>219</v>
      </c>
    </row>
    <row r="1033" spans="1:7">
      <c r="A1033" s="147">
        <v>2020</v>
      </c>
      <c r="B1033" s="147" t="s">
        <v>255</v>
      </c>
      <c r="C1033" s="148" t="s">
        <v>133</v>
      </c>
      <c r="D1033" s="147" t="s">
        <v>61</v>
      </c>
      <c r="E1033" s="147" t="s">
        <v>218</v>
      </c>
      <c r="F1033" s="149">
        <v>109.12931140016249</v>
      </c>
      <c r="G1033" s="148" t="s">
        <v>219</v>
      </c>
    </row>
    <row r="1034" spans="1:7">
      <c r="A1034" s="147">
        <v>2021</v>
      </c>
      <c r="B1034" s="147" t="s">
        <v>255</v>
      </c>
      <c r="C1034" s="148" t="s">
        <v>133</v>
      </c>
      <c r="D1034" s="147" t="s">
        <v>61</v>
      </c>
      <c r="E1034" s="147" t="s">
        <v>218</v>
      </c>
      <c r="F1034" s="149">
        <v>109.65564874251504</v>
      </c>
      <c r="G1034" s="148" t="s">
        <v>219</v>
      </c>
    </row>
    <row r="1035" spans="1:7">
      <c r="A1035" s="147">
        <v>2022</v>
      </c>
      <c r="B1035" s="147" t="s">
        <v>255</v>
      </c>
      <c r="C1035" s="148" t="s">
        <v>133</v>
      </c>
      <c r="D1035" s="147" t="s">
        <v>61</v>
      </c>
      <c r="E1035" s="147" t="s">
        <v>218</v>
      </c>
      <c r="F1035" s="149">
        <v>129.21117387411741</v>
      </c>
      <c r="G1035" s="148" t="s">
        <v>219</v>
      </c>
    </row>
    <row r="1036" spans="1:7">
      <c r="A1036" s="147" t="s">
        <v>185</v>
      </c>
      <c r="B1036" s="147" t="s">
        <v>255</v>
      </c>
      <c r="C1036" s="148" t="s">
        <v>133</v>
      </c>
      <c r="D1036" s="147" t="s">
        <v>61</v>
      </c>
      <c r="E1036" s="147" t="s">
        <v>218</v>
      </c>
      <c r="F1036" s="149">
        <v>153.231452957708</v>
      </c>
      <c r="G1036" s="148" t="s">
        <v>219</v>
      </c>
    </row>
    <row r="1037" spans="1:7">
      <c r="A1037" s="147" t="s">
        <v>107</v>
      </c>
      <c r="B1037" s="147" t="s">
        <v>255</v>
      </c>
      <c r="C1037" s="148" t="s">
        <v>133</v>
      </c>
      <c r="D1037" s="147" t="s">
        <v>61</v>
      </c>
      <c r="E1037" s="147" t="s">
        <v>218</v>
      </c>
      <c r="F1037" s="149">
        <v>139.40513273766032</v>
      </c>
      <c r="G1037" s="148" t="s">
        <v>219</v>
      </c>
    </row>
    <row r="1038" spans="1:7">
      <c r="A1038" s="147">
        <v>2018</v>
      </c>
      <c r="B1038" s="147" t="s">
        <v>256</v>
      </c>
      <c r="C1038" s="148" t="s">
        <v>133</v>
      </c>
      <c r="D1038" s="147" t="s">
        <v>221</v>
      </c>
      <c r="E1038" s="147" t="s">
        <v>218</v>
      </c>
      <c r="F1038" s="149">
        <v>2380.7674636320658</v>
      </c>
      <c r="G1038" s="148" t="s">
        <v>219</v>
      </c>
    </row>
    <row r="1039" spans="1:7">
      <c r="A1039" s="147">
        <v>2019</v>
      </c>
      <c r="B1039" s="147" t="s">
        <v>256</v>
      </c>
      <c r="C1039" s="148" t="s">
        <v>133</v>
      </c>
      <c r="D1039" s="147" t="s">
        <v>221</v>
      </c>
      <c r="E1039" s="147" t="s">
        <v>218</v>
      </c>
      <c r="F1039" s="149">
        <v>2476.6044251972739</v>
      </c>
      <c r="G1039" s="148" t="s">
        <v>219</v>
      </c>
    </row>
    <row r="1040" spans="1:7">
      <c r="A1040" s="147">
        <v>2020</v>
      </c>
      <c r="B1040" s="147" t="s">
        <v>256</v>
      </c>
      <c r="C1040" s="148" t="s">
        <v>133</v>
      </c>
      <c r="D1040" s="147" t="s">
        <v>221</v>
      </c>
      <c r="E1040" s="147" t="s">
        <v>218</v>
      </c>
      <c r="F1040" s="149">
        <v>2743.3980255711904</v>
      </c>
      <c r="G1040" s="148" t="s">
        <v>219</v>
      </c>
    </row>
    <row r="1041" spans="1:7">
      <c r="A1041" s="147">
        <v>2021</v>
      </c>
      <c r="B1041" s="147" t="s">
        <v>256</v>
      </c>
      <c r="C1041" s="148" t="s">
        <v>133</v>
      </c>
      <c r="D1041" s="147" t="s">
        <v>221</v>
      </c>
      <c r="E1041" s="147" t="s">
        <v>218</v>
      </c>
      <c r="F1041" s="149">
        <v>2903.1769757966222</v>
      </c>
      <c r="G1041" s="148" t="s">
        <v>219</v>
      </c>
    </row>
    <row r="1042" spans="1:7">
      <c r="A1042" s="147">
        <v>2022</v>
      </c>
      <c r="B1042" s="147" t="s">
        <v>256</v>
      </c>
      <c r="C1042" s="148" t="s">
        <v>133</v>
      </c>
      <c r="D1042" s="147" t="s">
        <v>221</v>
      </c>
      <c r="E1042" s="147" t="s">
        <v>218</v>
      </c>
      <c r="F1042" s="149">
        <v>2930.3980036240332</v>
      </c>
      <c r="G1042" s="148" t="s">
        <v>219</v>
      </c>
    </row>
    <row r="1043" spans="1:7">
      <c r="A1043" s="147" t="s">
        <v>185</v>
      </c>
      <c r="B1043" s="147" t="s">
        <v>256</v>
      </c>
      <c r="C1043" s="148" t="s">
        <v>133</v>
      </c>
      <c r="D1043" s="147" t="s">
        <v>221</v>
      </c>
      <c r="E1043" s="147" t="s">
        <v>218</v>
      </c>
      <c r="F1043" s="149">
        <v>3018.6842359726602</v>
      </c>
      <c r="G1043" s="148" t="s">
        <v>219</v>
      </c>
    </row>
    <row r="1044" spans="1:7">
      <c r="A1044" s="147" t="s">
        <v>107</v>
      </c>
      <c r="B1044" s="147" t="s">
        <v>256</v>
      </c>
      <c r="C1044" s="148" t="s">
        <v>133</v>
      </c>
      <c r="D1044" s="147" t="s">
        <v>221</v>
      </c>
      <c r="E1044" s="147" t="s">
        <v>218</v>
      </c>
      <c r="F1044" s="149">
        <v>3057.9124172404804</v>
      </c>
      <c r="G1044" s="148" t="s">
        <v>219</v>
      </c>
    </row>
    <row r="1045" spans="1:7">
      <c r="A1045" s="147">
        <v>2018</v>
      </c>
      <c r="B1045" s="147" t="s">
        <v>257</v>
      </c>
      <c r="C1045" s="148" t="s">
        <v>133</v>
      </c>
      <c r="D1045" s="147" t="s">
        <v>148</v>
      </c>
      <c r="E1045" s="147" t="s">
        <v>218</v>
      </c>
      <c r="F1045" s="149">
        <v>38941.046196934949</v>
      </c>
      <c r="G1045" s="148" t="s">
        <v>219</v>
      </c>
    </row>
    <row r="1046" spans="1:7">
      <c r="A1046" s="147">
        <v>2019</v>
      </c>
      <c r="B1046" s="147" t="s">
        <v>257</v>
      </c>
      <c r="C1046" s="148" t="s">
        <v>133</v>
      </c>
      <c r="D1046" s="147" t="s">
        <v>148</v>
      </c>
      <c r="E1046" s="147" t="s">
        <v>218</v>
      </c>
      <c r="F1046" s="149">
        <v>39750.772694018313</v>
      </c>
      <c r="G1046" s="148" t="s">
        <v>219</v>
      </c>
    </row>
    <row r="1047" spans="1:7">
      <c r="A1047" s="147">
        <v>2020</v>
      </c>
      <c r="B1047" s="147" t="s">
        <v>257</v>
      </c>
      <c r="C1047" s="148" t="s">
        <v>133</v>
      </c>
      <c r="D1047" s="147" t="s">
        <v>148</v>
      </c>
      <c r="E1047" s="147" t="s">
        <v>218</v>
      </c>
      <c r="F1047" s="149">
        <v>31505.236678499274</v>
      </c>
      <c r="G1047" s="148" t="s">
        <v>219</v>
      </c>
    </row>
    <row r="1048" spans="1:7">
      <c r="A1048" s="147">
        <v>2021</v>
      </c>
      <c r="B1048" s="147" t="s">
        <v>257</v>
      </c>
      <c r="C1048" s="148" t="s">
        <v>133</v>
      </c>
      <c r="D1048" s="147" t="s">
        <v>148</v>
      </c>
      <c r="E1048" s="147" t="s">
        <v>218</v>
      </c>
      <c r="F1048" s="149">
        <v>36582.548268134706</v>
      </c>
      <c r="G1048" s="148" t="s">
        <v>219</v>
      </c>
    </row>
    <row r="1049" spans="1:7">
      <c r="A1049" s="147">
        <v>2022</v>
      </c>
      <c r="B1049" s="147" t="s">
        <v>257</v>
      </c>
      <c r="C1049" s="148" t="s">
        <v>133</v>
      </c>
      <c r="D1049" s="147" t="s">
        <v>148</v>
      </c>
      <c r="E1049" s="147" t="s">
        <v>218</v>
      </c>
      <c r="F1049" s="149">
        <v>40601.541902171353</v>
      </c>
      <c r="G1049" s="148" t="s">
        <v>219</v>
      </c>
    </row>
    <row r="1050" spans="1:7">
      <c r="A1050" s="147" t="s">
        <v>185</v>
      </c>
      <c r="B1050" s="147" t="s">
        <v>257</v>
      </c>
      <c r="C1050" s="148" t="s">
        <v>133</v>
      </c>
      <c r="D1050" s="147" t="s">
        <v>148</v>
      </c>
      <c r="E1050" s="147" t="s">
        <v>218</v>
      </c>
      <c r="F1050" s="149">
        <v>45151.956339308737</v>
      </c>
      <c r="G1050" s="148" t="s">
        <v>219</v>
      </c>
    </row>
    <row r="1051" spans="1:7">
      <c r="A1051" s="147" t="s">
        <v>107</v>
      </c>
      <c r="B1051" s="147" t="s">
        <v>257</v>
      </c>
      <c r="C1051" s="148" t="s">
        <v>133</v>
      </c>
      <c r="D1051" s="147" t="s">
        <v>148</v>
      </c>
      <c r="E1051" s="147" t="s">
        <v>218</v>
      </c>
      <c r="F1051" s="149">
        <v>47424.94649794318</v>
      </c>
      <c r="G1051" s="148" t="s">
        <v>219</v>
      </c>
    </row>
    <row r="1052" spans="1:7">
      <c r="A1052" s="147">
        <v>2018</v>
      </c>
      <c r="B1052" s="147" t="s">
        <v>258</v>
      </c>
      <c r="C1052" s="148" t="s">
        <v>133</v>
      </c>
      <c r="D1052" s="147" t="s">
        <v>149</v>
      </c>
      <c r="E1052" s="147" t="s">
        <v>218</v>
      </c>
      <c r="F1052" s="149">
        <v>1351.8215083260832</v>
      </c>
      <c r="G1052" s="148" t="s">
        <v>219</v>
      </c>
    </row>
    <row r="1053" spans="1:7">
      <c r="A1053" s="147">
        <v>2019</v>
      </c>
      <c r="B1053" s="147" t="s">
        <v>258</v>
      </c>
      <c r="C1053" s="148" t="s">
        <v>133</v>
      </c>
      <c r="D1053" s="147" t="s">
        <v>149</v>
      </c>
      <c r="E1053" s="147" t="s">
        <v>218</v>
      </c>
      <c r="F1053" s="149">
        <v>1326.1917643850466</v>
      </c>
      <c r="G1053" s="148" t="s">
        <v>219</v>
      </c>
    </row>
    <row r="1054" spans="1:7">
      <c r="A1054" s="147">
        <v>2020</v>
      </c>
      <c r="B1054" s="147" t="s">
        <v>258</v>
      </c>
      <c r="C1054" s="148" t="s">
        <v>133</v>
      </c>
      <c r="D1054" s="147" t="s">
        <v>149</v>
      </c>
      <c r="E1054" s="147" t="s">
        <v>218</v>
      </c>
      <c r="F1054" s="149">
        <v>844.55885943940461</v>
      </c>
      <c r="G1054" s="148" t="s">
        <v>219</v>
      </c>
    </row>
    <row r="1055" spans="1:7">
      <c r="A1055" s="147">
        <v>2021</v>
      </c>
      <c r="B1055" s="147" t="s">
        <v>258</v>
      </c>
      <c r="C1055" s="148" t="s">
        <v>133</v>
      </c>
      <c r="D1055" s="147" t="s">
        <v>149</v>
      </c>
      <c r="E1055" s="147" t="s">
        <v>218</v>
      </c>
      <c r="F1055" s="149">
        <v>1028.914607372255</v>
      </c>
      <c r="G1055" s="148" t="s">
        <v>219</v>
      </c>
    </row>
    <row r="1056" spans="1:7">
      <c r="A1056" s="147">
        <v>2022</v>
      </c>
      <c r="B1056" s="147" t="s">
        <v>258</v>
      </c>
      <c r="C1056" s="148" t="s">
        <v>133</v>
      </c>
      <c r="D1056" s="147" t="s">
        <v>149</v>
      </c>
      <c r="E1056" s="147" t="s">
        <v>218</v>
      </c>
      <c r="F1056" s="149">
        <v>1194.9187461446718</v>
      </c>
      <c r="G1056" s="148" t="s">
        <v>219</v>
      </c>
    </row>
    <row r="1057" spans="1:7">
      <c r="A1057" s="147" t="s">
        <v>185</v>
      </c>
      <c r="B1057" s="147" t="s">
        <v>258</v>
      </c>
      <c r="C1057" s="148" t="s">
        <v>133</v>
      </c>
      <c r="D1057" s="147" t="s">
        <v>149</v>
      </c>
      <c r="E1057" s="147" t="s">
        <v>218</v>
      </c>
      <c r="F1057" s="149">
        <v>1276.1174171586283</v>
      </c>
      <c r="G1057" s="148" t="s">
        <v>219</v>
      </c>
    </row>
    <row r="1058" spans="1:7">
      <c r="A1058" s="147" t="s">
        <v>107</v>
      </c>
      <c r="B1058" s="147" t="s">
        <v>258</v>
      </c>
      <c r="C1058" s="148" t="s">
        <v>133</v>
      </c>
      <c r="D1058" s="147" t="s">
        <v>149</v>
      </c>
      <c r="E1058" s="147" t="s">
        <v>218</v>
      </c>
      <c r="F1058" s="149">
        <v>1320.5746416109623</v>
      </c>
      <c r="G1058" s="148" t="s">
        <v>219</v>
      </c>
    </row>
    <row r="1059" spans="1:7">
      <c r="A1059" s="147">
        <v>2018</v>
      </c>
      <c r="B1059" s="147" t="s">
        <v>259</v>
      </c>
      <c r="C1059" s="148" t="s">
        <v>133</v>
      </c>
      <c r="D1059" s="147" t="s">
        <v>136</v>
      </c>
      <c r="E1059" s="147" t="s">
        <v>218</v>
      </c>
      <c r="F1059" s="149">
        <v>40292.867705261029</v>
      </c>
      <c r="G1059" s="148" t="s">
        <v>219</v>
      </c>
    </row>
    <row r="1060" spans="1:7">
      <c r="A1060" s="147">
        <v>2019</v>
      </c>
      <c r="B1060" s="147" t="s">
        <v>259</v>
      </c>
      <c r="C1060" s="148" t="s">
        <v>133</v>
      </c>
      <c r="D1060" s="147" t="s">
        <v>136</v>
      </c>
      <c r="E1060" s="147" t="s">
        <v>218</v>
      </c>
      <c r="F1060" s="149">
        <v>41076.964458403367</v>
      </c>
      <c r="G1060" s="148" t="s">
        <v>219</v>
      </c>
    </row>
    <row r="1061" spans="1:7">
      <c r="A1061" s="147">
        <v>2020</v>
      </c>
      <c r="B1061" s="147" t="s">
        <v>259</v>
      </c>
      <c r="C1061" s="148" t="s">
        <v>133</v>
      </c>
      <c r="D1061" s="147" t="s">
        <v>136</v>
      </c>
      <c r="E1061" s="147" t="s">
        <v>218</v>
      </c>
      <c r="F1061" s="149">
        <v>32358.685560287253</v>
      </c>
      <c r="G1061" s="148" t="s">
        <v>219</v>
      </c>
    </row>
    <row r="1062" spans="1:7">
      <c r="A1062" s="147">
        <v>2021</v>
      </c>
      <c r="B1062" s="147" t="s">
        <v>259</v>
      </c>
      <c r="C1062" s="148" t="s">
        <v>133</v>
      </c>
      <c r="D1062" s="147" t="s">
        <v>136</v>
      </c>
      <c r="E1062" s="147" t="s">
        <v>218</v>
      </c>
      <c r="F1062" s="149">
        <v>37620.691377709096</v>
      </c>
      <c r="G1062" s="148" t="s">
        <v>219</v>
      </c>
    </row>
    <row r="1063" spans="1:7">
      <c r="A1063" s="147">
        <v>2022</v>
      </c>
      <c r="B1063" s="147" t="s">
        <v>259</v>
      </c>
      <c r="C1063" s="148" t="s">
        <v>133</v>
      </c>
      <c r="D1063" s="147" t="s">
        <v>136</v>
      </c>
      <c r="E1063" s="147" t="s">
        <v>218</v>
      </c>
      <c r="F1063" s="149">
        <v>41806.893363845236</v>
      </c>
      <c r="G1063" s="148" t="s">
        <v>219</v>
      </c>
    </row>
    <row r="1064" spans="1:7">
      <c r="A1064" s="147" t="s">
        <v>185</v>
      </c>
      <c r="B1064" s="147" t="s">
        <v>259</v>
      </c>
      <c r="C1064" s="148" t="s">
        <v>133</v>
      </c>
      <c r="D1064" s="147" t="s">
        <v>136</v>
      </c>
      <c r="E1064" s="147" t="s">
        <v>218</v>
      </c>
      <c r="F1064" s="149">
        <v>46439.115186568888</v>
      </c>
      <c r="G1064" s="148" t="s">
        <v>219</v>
      </c>
    </row>
    <row r="1065" spans="1:7">
      <c r="A1065" s="147" t="s">
        <v>107</v>
      </c>
      <c r="B1065" s="147" t="s">
        <v>259</v>
      </c>
      <c r="C1065" s="148" t="s">
        <v>133</v>
      </c>
      <c r="D1065" s="147" t="s">
        <v>136</v>
      </c>
      <c r="E1065" s="147" t="s">
        <v>218</v>
      </c>
      <c r="F1065" s="149">
        <v>48758.348309249363</v>
      </c>
      <c r="G1065" s="148" t="s">
        <v>219</v>
      </c>
    </row>
    <row r="1066" spans="1:7">
      <c r="A1066" s="147">
        <v>2018</v>
      </c>
      <c r="B1066" s="147" t="s">
        <v>260</v>
      </c>
      <c r="C1066" s="148" t="s">
        <v>133</v>
      </c>
      <c r="D1066" s="147" t="s">
        <v>0</v>
      </c>
      <c r="E1066" s="147" t="s">
        <v>218</v>
      </c>
      <c r="F1066" s="149">
        <v>164.58835334047754</v>
      </c>
      <c r="G1066" s="148" t="s">
        <v>219</v>
      </c>
    </row>
    <row r="1067" spans="1:7">
      <c r="A1067" s="147">
        <v>2019</v>
      </c>
      <c r="B1067" s="147" t="s">
        <v>260</v>
      </c>
      <c r="C1067" s="148" t="s">
        <v>133</v>
      </c>
      <c r="D1067" s="147" t="s">
        <v>0</v>
      </c>
      <c r="E1067" s="147" t="s">
        <v>218</v>
      </c>
      <c r="F1067" s="149">
        <v>147.20211170627445</v>
      </c>
      <c r="G1067" s="148" t="s">
        <v>219</v>
      </c>
    </row>
    <row r="1068" spans="1:7">
      <c r="A1068" s="147">
        <v>2020</v>
      </c>
      <c r="B1068" s="147" t="s">
        <v>260</v>
      </c>
      <c r="C1068" s="148" t="s">
        <v>133</v>
      </c>
      <c r="D1068" s="147" t="s">
        <v>0</v>
      </c>
      <c r="E1068" s="147" t="s">
        <v>218</v>
      </c>
      <c r="F1068" s="149">
        <v>143.13928305923307</v>
      </c>
      <c r="G1068" s="148" t="s">
        <v>219</v>
      </c>
    </row>
    <row r="1069" spans="1:7">
      <c r="A1069" s="147">
        <v>2021</v>
      </c>
      <c r="B1069" s="147" t="s">
        <v>260</v>
      </c>
      <c r="C1069" s="148" t="s">
        <v>133</v>
      </c>
      <c r="D1069" s="147" t="s">
        <v>0</v>
      </c>
      <c r="E1069" s="147" t="s">
        <v>218</v>
      </c>
      <c r="F1069" s="149">
        <v>169.73097554779051</v>
      </c>
      <c r="G1069" s="148" t="s">
        <v>219</v>
      </c>
    </row>
    <row r="1070" spans="1:7">
      <c r="A1070" s="147">
        <v>2022</v>
      </c>
      <c r="B1070" s="147" t="s">
        <v>260</v>
      </c>
      <c r="C1070" s="148" t="s">
        <v>133</v>
      </c>
      <c r="D1070" s="147" t="s">
        <v>0</v>
      </c>
      <c r="E1070" s="147" t="s">
        <v>218</v>
      </c>
      <c r="F1070" s="149">
        <v>170.68713450278949</v>
      </c>
      <c r="G1070" s="148" t="s">
        <v>219</v>
      </c>
    </row>
    <row r="1071" spans="1:7">
      <c r="A1071" s="147" t="s">
        <v>185</v>
      </c>
      <c r="B1071" s="147" t="s">
        <v>260</v>
      </c>
      <c r="C1071" s="148" t="s">
        <v>133</v>
      </c>
      <c r="D1071" s="147" t="s">
        <v>0</v>
      </c>
      <c r="E1071" s="147" t="s">
        <v>218</v>
      </c>
      <c r="F1071" s="149">
        <v>174.52961252536392</v>
      </c>
      <c r="G1071" s="148" t="s">
        <v>219</v>
      </c>
    </row>
    <row r="1072" spans="1:7">
      <c r="A1072" s="147" t="s">
        <v>107</v>
      </c>
      <c r="B1072" s="147" t="s">
        <v>260</v>
      </c>
      <c r="C1072" s="148" t="s">
        <v>133</v>
      </c>
      <c r="D1072" s="147" t="s">
        <v>0</v>
      </c>
      <c r="E1072" s="147" t="s">
        <v>218</v>
      </c>
      <c r="F1072" s="149">
        <v>171.23070976260718</v>
      </c>
      <c r="G1072" s="148" t="s">
        <v>219</v>
      </c>
    </row>
    <row r="1073" spans="1:7">
      <c r="A1073" s="147">
        <v>2018</v>
      </c>
      <c r="B1073" s="147" t="s">
        <v>260</v>
      </c>
      <c r="C1073" s="148" t="s">
        <v>133</v>
      </c>
      <c r="D1073" s="147" t="s">
        <v>1</v>
      </c>
      <c r="E1073" s="147" t="s">
        <v>218</v>
      </c>
      <c r="F1073" s="149">
        <v>26.005119466104524</v>
      </c>
      <c r="G1073" s="148" t="s">
        <v>219</v>
      </c>
    </row>
    <row r="1074" spans="1:7">
      <c r="A1074" s="147">
        <v>2019</v>
      </c>
      <c r="B1074" s="147" t="s">
        <v>260</v>
      </c>
      <c r="C1074" s="148" t="s">
        <v>133</v>
      </c>
      <c r="D1074" s="147" t="s">
        <v>1</v>
      </c>
      <c r="E1074" s="147" t="s">
        <v>218</v>
      </c>
      <c r="F1074" s="149">
        <v>21.274882050660391</v>
      </c>
      <c r="G1074" s="148" t="s">
        <v>219</v>
      </c>
    </row>
    <row r="1075" spans="1:7">
      <c r="A1075" s="147">
        <v>2020</v>
      </c>
      <c r="B1075" s="147" t="s">
        <v>260</v>
      </c>
      <c r="C1075" s="148" t="s">
        <v>133</v>
      </c>
      <c r="D1075" s="147" t="s">
        <v>1</v>
      </c>
      <c r="E1075" s="147" t="s">
        <v>218</v>
      </c>
      <c r="F1075" s="149">
        <v>12.914747738988728</v>
      </c>
      <c r="G1075" s="148" t="s">
        <v>219</v>
      </c>
    </row>
    <row r="1076" spans="1:7">
      <c r="A1076" s="147">
        <v>2021</v>
      </c>
      <c r="B1076" s="147" t="s">
        <v>260</v>
      </c>
      <c r="C1076" s="148" t="s">
        <v>133</v>
      </c>
      <c r="D1076" s="147" t="s">
        <v>1</v>
      </c>
      <c r="E1076" s="147" t="s">
        <v>218</v>
      </c>
      <c r="F1076" s="149">
        <v>20.233379653892602</v>
      </c>
      <c r="G1076" s="148" t="s">
        <v>219</v>
      </c>
    </row>
    <row r="1077" spans="1:7">
      <c r="A1077" s="147">
        <v>2022</v>
      </c>
      <c r="B1077" s="147" t="s">
        <v>260</v>
      </c>
      <c r="C1077" s="148" t="s">
        <v>133</v>
      </c>
      <c r="D1077" s="147" t="s">
        <v>1</v>
      </c>
      <c r="E1077" s="147" t="s">
        <v>218</v>
      </c>
      <c r="F1077" s="149">
        <v>20.663003398908895</v>
      </c>
      <c r="G1077" s="148" t="s">
        <v>219</v>
      </c>
    </row>
    <row r="1078" spans="1:7">
      <c r="A1078" s="147" t="s">
        <v>185</v>
      </c>
      <c r="B1078" s="147" t="s">
        <v>260</v>
      </c>
      <c r="C1078" s="148" t="s">
        <v>133</v>
      </c>
      <c r="D1078" s="147" t="s">
        <v>1</v>
      </c>
      <c r="E1078" s="147" t="s">
        <v>218</v>
      </c>
      <c r="F1078" s="149">
        <v>21.350412227499515</v>
      </c>
      <c r="G1078" s="148" t="s">
        <v>219</v>
      </c>
    </row>
    <row r="1079" spans="1:7">
      <c r="A1079" s="147" t="s">
        <v>107</v>
      </c>
      <c r="B1079" s="147" t="s">
        <v>260</v>
      </c>
      <c r="C1079" s="148" t="s">
        <v>133</v>
      </c>
      <c r="D1079" s="147" t="s">
        <v>1</v>
      </c>
      <c r="E1079" s="147" t="s">
        <v>218</v>
      </c>
      <c r="F1079" s="149">
        <v>31.594344115064072</v>
      </c>
      <c r="G1079" s="148" t="s">
        <v>219</v>
      </c>
    </row>
    <row r="1080" spans="1:7">
      <c r="A1080" s="147">
        <v>2018</v>
      </c>
      <c r="B1080" s="147" t="s">
        <v>260</v>
      </c>
      <c r="C1080" s="148" t="s">
        <v>133</v>
      </c>
      <c r="D1080" s="147" t="s">
        <v>2</v>
      </c>
      <c r="E1080" s="147" t="s">
        <v>218</v>
      </c>
      <c r="F1080" s="149">
        <v>188.99079270272969</v>
      </c>
      <c r="G1080" s="148" t="s">
        <v>219</v>
      </c>
    </row>
    <row r="1081" spans="1:7">
      <c r="A1081" s="147">
        <v>2019</v>
      </c>
      <c r="B1081" s="147" t="s">
        <v>260</v>
      </c>
      <c r="C1081" s="148" t="s">
        <v>133</v>
      </c>
      <c r="D1081" s="147" t="s">
        <v>2</v>
      </c>
      <c r="E1081" s="147" t="s">
        <v>218</v>
      </c>
      <c r="F1081" s="149">
        <v>172.89333911792178</v>
      </c>
      <c r="G1081" s="148" t="s">
        <v>219</v>
      </c>
    </row>
    <row r="1082" spans="1:7">
      <c r="A1082" s="147">
        <v>2020</v>
      </c>
      <c r="B1082" s="147" t="s">
        <v>260</v>
      </c>
      <c r="C1082" s="148" t="s">
        <v>133</v>
      </c>
      <c r="D1082" s="147" t="s">
        <v>2</v>
      </c>
      <c r="E1082" s="147" t="s">
        <v>218</v>
      </c>
      <c r="F1082" s="149">
        <v>162.26676965968082</v>
      </c>
      <c r="G1082" s="148" t="s">
        <v>219</v>
      </c>
    </row>
    <row r="1083" spans="1:7">
      <c r="A1083" s="147">
        <v>2021</v>
      </c>
      <c r="B1083" s="147" t="s">
        <v>260</v>
      </c>
      <c r="C1083" s="148" t="s">
        <v>133</v>
      </c>
      <c r="D1083" s="147" t="s">
        <v>2</v>
      </c>
      <c r="E1083" s="147" t="s">
        <v>218</v>
      </c>
      <c r="F1083" s="149">
        <v>174.35579844361069</v>
      </c>
      <c r="G1083" s="148" t="s">
        <v>219</v>
      </c>
    </row>
    <row r="1084" spans="1:7">
      <c r="A1084" s="147">
        <v>2022</v>
      </c>
      <c r="B1084" s="147" t="s">
        <v>260</v>
      </c>
      <c r="C1084" s="148" t="s">
        <v>133</v>
      </c>
      <c r="D1084" s="147" t="s">
        <v>2</v>
      </c>
      <c r="E1084" s="147" t="s">
        <v>218</v>
      </c>
      <c r="F1084" s="149">
        <v>200.77833752839319</v>
      </c>
      <c r="G1084" s="148" t="s">
        <v>219</v>
      </c>
    </row>
    <row r="1085" spans="1:7">
      <c r="A1085" s="147" t="s">
        <v>185</v>
      </c>
      <c r="B1085" s="147" t="s">
        <v>260</v>
      </c>
      <c r="C1085" s="148" t="s">
        <v>133</v>
      </c>
      <c r="D1085" s="147" t="s">
        <v>2</v>
      </c>
      <c r="E1085" s="147" t="s">
        <v>218</v>
      </c>
      <c r="F1085" s="149">
        <v>208.59013059936311</v>
      </c>
      <c r="G1085" s="148" t="s">
        <v>219</v>
      </c>
    </row>
    <row r="1086" spans="1:7">
      <c r="A1086" s="147" t="s">
        <v>107</v>
      </c>
      <c r="B1086" s="147" t="s">
        <v>260</v>
      </c>
      <c r="C1086" s="148" t="s">
        <v>133</v>
      </c>
      <c r="D1086" s="147" t="s">
        <v>2</v>
      </c>
      <c r="E1086" s="147" t="s">
        <v>218</v>
      </c>
      <c r="F1086" s="149">
        <v>223.37559885636074</v>
      </c>
      <c r="G1086" s="148" t="s">
        <v>219</v>
      </c>
    </row>
    <row r="1087" spans="1:7">
      <c r="A1087" s="147">
        <v>2018</v>
      </c>
      <c r="B1087" s="147" t="s">
        <v>260</v>
      </c>
      <c r="C1087" s="148" t="s">
        <v>133</v>
      </c>
      <c r="D1087" s="147" t="s">
        <v>68</v>
      </c>
      <c r="E1087" s="147" t="s">
        <v>218</v>
      </c>
      <c r="F1087" s="149">
        <v>21.765446890724665</v>
      </c>
      <c r="G1087" s="148" t="s">
        <v>219</v>
      </c>
    </row>
    <row r="1088" spans="1:7">
      <c r="A1088" s="147">
        <v>2019</v>
      </c>
      <c r="B1088" s="147" t="s">
        <v>260</v>
      </c>
      <c r="C1088" s="148" t="s">
        <v>133</v>
      </c>
      <c r="D1088" s="147" t="s">
        <v>68</v>
      </c>
      <c r="E1088" s="147" t="s">
        <v>218</v>
      </c>
      <c r="F1088" s="149">
        <v>21.745949248494796</v>
      </c>
      <c r="G1088" s="148" t="s">
        <v>219</v>
      </c>
    </row>
    <row r="1089" spans="1:7">
      <c r="A1089" s="147">
        <v>2020</v>
      </c>
      <c r="B1089" s="147" t="s">
        <v>260</v>
      </c>
      <c r="C1089" s="148" t="s">
        <v>133</v>
      </c>
      <c r="D1089" s="147" t="s">
        <v>68</v>
      </c>
      <c r="E1089" s="147" t="s">
        <v>218</v>
      </c>
      <c r="F1089" s="149">
        <v>24.085221994510931</v>
      </c>
      <c r="G1089" s="148" t="s">
        <v>219</v>
      </c>
    </row>
    <row r="1090" spans="1:7">
      <c r="A1090" s="147">
        <v>2021</v>
      </c>
      <c r="B1090" s="147" t="s">
        <v>260</v>
      </c>
      <c r="C1090" s="148" t="s">
        <v>133</v>
      </c>
      <c r="D1090" s="147" t="s">
        <v>68</v>
      </c>
      <c r="E1090" s="147" t="s">
        <v>218</v>
      </c>
      <c r="F1090" s="149">
        <v>25.928691922151373</v>
      </c>
      <c r="G1090" s="148" t="s">
        <v>219</v>
      </c>
    </row>
    <row r="1091" spans="1:7">
      <c r="A1091" s="147">
        <v>2022</v>
      </c>
      <c r="B1091" s="147" t="s">
        <v>260</v>
      </c>
      <c r="C1091" s="148" t="s">
        <v>133</v>
      </c>
      <c r="D1091" s="147" t="s">
        <v>68</v>
      </c>
      <c r="E1091" s="147" t="s">
        <v>218</v>
      </c>
      <c r="F1091" s="149">
        <v>28.626270650000528</v>
      </c>
      <c r="G1091" s="148" t="s">
        <v>219</v>
      </c>
    </row>
    <row r="1092" spans="1:7">
      <c r="A1092" s="147" t="s">
        <v>185</v>
      </c>
      <c r="B1092" s="147" t="s">
        <v>260</v>
      </c>
      <c r="C1092" s="148" t="s">
        <v>133</v>
      </c>
      <c r="D1092" s="147" t="s">
        <v>68</v>
      </c>
      <c r="E1092" s="147" t="s">
        <v>218</v>
      </c>
      <c r="F1092" s="149">
        <v>28.5464852229657</v>
      </c>
      <c r="G1092" s="148" t="s">
        <v>219</v>
      </c>
    </row>
    <row r="1093" spans="1:7">
      <c r="A1093" s="147" t="s">
        <v>107</v>
      </c>
      <c r="B1093" s="147" t="s">
        <v>260</v>
      </c>
      <c r="C1093" s="148" t="s">
        <v>133</v>
      </c>
      <c r="D1093" s="147" t="s">
        <v>68</v>
      </c>
      <c r="E1093" s="147" t="s">
        <v>218</v>
      </c>
      <c r="F1093" s="149">
        <v>30.231446897007867</v>
      </c>
      <c r="G1093" s="148" t="s">
        <v>219</v>
      </c>
    </row>
    <row r="1094" spans="1:7">
      <c r="A1094" s="147">
        <v>2018</v>
      </c>
      <c r="B1094" s="147" t="s">
        <v>260</v>
      </c>
      <c r="C1094" s="148" t="s">
        <v>133</v>
      </c>
      <c r="D1094" s="147" t="s">
        <v>4</v>
      </c>
      <c r="E1094" s="147" t="s">
        <v>218</v>
      </c>
      <c r="F1094" s="149">
        <v>358.58289200373969</v>
      </c>
      <c r="G1094" s="148" t="s">
        <v>219</v>
      </c>
    </row>
    <row r="1095" spans="1:7">
      <c r="A1095" s="147">
        <v>2019</v>
      </c>
      <c r="B1095" s="147" t="s">
        <v>260</v>
      </c>
      <c r="C1095" s="148" t="s">
        <v>133</v>
      </c>
      <c r="D1095" s="147" t="s">
        <v>4</v>
      </c>
      <c r="E1095" s="147" t="s">
        <v>218</v>
      </c>
      <c r="F1095" s="149">
        <v>269.50356189472996</v>
      </c>
      <c r="G1095" s="148" t="s">
        <v>219</v>
      </c>
    </row>
    <row r="1096" spans="1:7">
      <c r="A1096" s="147">
        <v>2020</v>
      </c>
      <c r="B1096" s="147" t="s">
        <v>260</v>
      </c>
      <c r="C1096" s="148" t="s">
        <v>133</v>
      </c>
      <c r="D1096" s="147" t="s">
        <v>4</v>
      </c>
      <c r="E1096" s="147" t="s">
        <v>218</v>
      </c>
      <c r="F1096" s="149">
        <v>165.60856747200248</v>
      </c>
      <c r="G1096" s="148" t="s">
        <v>219</v>
      </c>
    </row>
    <row r="1097" spans="1:7">
      <c r="A1097" s="147">
        <v>2021</v>
      </c>
      <c r="B1097" s="147" t="s">
        <v>260</v>
      </c>
      <c r="C1097" s="148" t="s">
        <v>133</v>
      </c>
      <c r="D1097" s="147" t="s">
        <v>4</v>
      </c>
      <c r="E1097" s="147" t="s">
        <v>218</v>
      </c>
      <c r="F1097" s="149">
        <v>244.57023047448223</v>
      </c>
      <c r="G1097" s="148" t="s">
        <v>219</v>
      </c>
    </row>
    <row r="1098" spans="1:7">
      <c r="A1098" s="147">
        <v>2022</v>
      </c>
      <c r="B1098" s="147" t="s">
        <v>260</v>
      </c>
      <c r="C1098" s="148" t="s">
        <v>133</v>
      </c>
      <c r="D1098" s="147" t="s">
        <v>4</v>
      </c>
      <c r="E1098" s="147" t="s">
        <v>218</v>
      </c>
      <c r="F1098" s="149">
        <v>235.0619731321502</v>
      </c>
      <c r="G1098" s="148" t="s">
        <v>219</v>
      </c>
    </row>
    <row r="1099" spans="1:7">
      <c r="A1099" s="147" t="s">
        <v>185</v>
      </c>
      <c r="B1099" s="147" t="s">
        <v>260</v>
      </c>
      <c r="C1099" s="148" t="s">
        <v>133</v>
      </c>
      <c r="D1099" s="147" t="s">
        <v>4</v>
      </c>
      <c r="E1099" s="147" t="s">
        <v>218</v>
      </c>
      <c r="F1099" s="149">
        <v>243.65760446048731</v>
      </c>
      <c r="G1099" s="148" t="s">
        <v>219</v>
      </c>
    </row>
    <row r="1100" spans="1:7">
      <c r="A1100" s="147" t="s">
        <v>107</v>
      </c>
      <c r="B1100" s="147" t="s">
        <v>260</v>
      </c>
      <c r="C1100" s="148" t="s">
        <v>133</v>
      </c>
      <c r="D1100" s="147" t="s">
        <v>4</v>
      </c>
      <c r="E1100" s="147" t="s">
        <v>218</v>
      </c>
      <c r="F1100" s="149">
        <v>249.42644835189228</v>
      </c>
      <c r="G1100" s="148" t="s">
        <v>219</v>
      </c>
    </row>
    <row r="1101" spans="1:7">
      <c r="A1101" s="147">
        <v>2018</v>
      </c>
      <c r="B1101" s="147" t="s">
        <v>260</v>
      </c>
      <c r="C1101" s="148" t="s">
        <v>133</v>
      </c>
      <c r="D1101" s="147" t="s">
        <v>5</v>
      </c>
      <c r="E1101" s="147" t="s">
        <v>218</v>
      </c>
      <c r="F1101" s="149">
        <v>168.88699270417487</v>
      </c>
      <c r="G1101" s="148" t="s">
        <v>219</v>
      </c>
    </row>
    <row r="1102" spans="1:7">
      <c r="A1102" s="147">
        <v>2019</v>
      </c>
      <c r="B1102" s="147" t="s">
        <v>260</v>
      </c>
      <c r="C1102" s="148" t="s">
        <v>133</v>
      </c>
      <c r="D1102" s="147" t="s">
        <v>5</v>
      </c>
      <c r="E1102" s="147" t="s">
        <v>218</v>
      </c>
      <c r="F1102" s="149">
        <v>169.29246451502971</v>
      </c>
      <c r="G1102" s="148" t="s">
        <v>219</v>
      </c>
    </row>
    <row r="1103" spans="1:7">
      <c r="A1103" s="147">
        <v>2020</v>
      </c>
      <c r="B1103" s="147" t="s">
        <v>260</v>
      </c>
      <c r="C1103" s="148" t="s">
        <v>133</v>
      </c>
      <c r="D1103" s="147" t="s">
        <v>5</v>
      </c>
      <c r="E1103" s="147" t="s">
        <v>218</v>
      </c>
      <c r="F1103" s="149">
        <v>153.31714410216139</v>
      </c>
      <c r="G1103" s="148" t="s">
        <v>219</v>
      </c>
    </row>
    <row r="1104" spans="1:7">
      <c r="A1104" s="147">
        <v>2021</v>
      </c>
      <c r="B1104" s="147" t="s">
        <v>260</v>
      </c>
      <c r="C1104" s="148" t="s">
        <v>133</v>
      </c>
      <c r="D1104" s="147" t="s">
        <v>5</v>
      </c>
      <c r="E1104" s="147" t="s">
        <v>218</v>
      </c>
      <c r="F1104" s="149">
        <v>231.50002856257379</v>
      </c>
      <c r="G1104" s="148" t="s">
        <v>219</v>
      </c>
    </row>
    <row r="1105" spans="1:7">
      <c r="A1105" s="147">
        <v>2022</v>
      </c>
      <c r="B1105" s="147" t="s">
        <v>260</v>
      </c>
      <c r="C1105" s="148" t="s">
        <v>133</v>
      </c>
      <c r="D1105" s="147" t="s">
        <v>5</v>
      </c>
      <c r="E1105" s="147" t="s">
        <v>218</v>
      </c>
      <c r="F1105" s="149">
        <v>285.36093693402944</v>
      </c>
      <c r="G1105" s="148" t="s">
        <v>219</v>
      </c>
    </row>
    <row r="1106" spans="1:7">
      <c r="A1106" s="147" t="s">
        <v>185</v>
      </c>
      <c r="B1106" s="147" t="s">
        <v>260</v>
      </c>
      <c r="C1106" s="148" t="s">
        <v>133</v>
      </c>
      <c r="D1106" s="147" t="s">
        <v>5</v>
      </c>
      <c r="E1106" s="147" t="s">
        <v>218</v>
      </c>
      <c r="F1106" s="149">
        <v>306.00211093690882</v>
      </c>
      <c r="G1106" s="148" t="s">
        <v>219</v>
      </c>
    </row>
    <row r="1107" spans="1:7">
      <c r="A1107" s="147" t="s">
        <v>107</v>
      </c>
      <c r="B1107" s="147" t="s">
        <v>260</v>
      </c>
      <c r="C1107" s="148" t="s">
        <v>133</v>
      </c>
      <c r="D1107" s="147" t="s">
        <v>5</v>
      </c>
      <c r="E1107" s="147" t="s">
        <v>218</v>
      </c>
      <c r="F1107" s="149">
        <v>309.74095196422832</v>
      </c>
      <c r="G1107" s="148" t="s">
        <v>219</v>
      </c>
    </row>
    <row r="1108" spans="1:7">
      <c r="A1108" s="147">
        <v>2018</v>
      </c>
      <c r="B1108" s="147" t="s">
        <v>260</v>
      </c>
      <c r="C1108" s="148" t="s">
        <v>133</v>
      </c>
      <c r="D1108" s="147" t="s">
        <v>6</v>
      </c>
      <c r="E1108" s="147" t="s">
        <v>218</v>
      </c>
      <c r="F1108" s="149">
        <v>71.648488360782238</v>
      </c>
      <c r="G1108" s="148" t="s">
        <v>219</v>
      </c>
    </row>
    <row r="1109" spans="1:7">
      <c r="A1109" s="147">
        <v>2019</v>
      </c>
      <c r="B1109" s="147" t="s">
        <v>260</v>
      </c>
      <c r="C1109" s="148" t="s">
        <v>133</v>
      </c>
      <c r="D1109" s="147" t="s">
        <v>6</v>
      </c>
      <c r="E1109" s="147" t="s">
        <v>218</v>
      </c>
      <c r="F1109" s="149">
        <v>90.915207788382617</v>
      </c>
      <c r="G1109" s="148" t="s">
        <v>219</v>
      </c>
    </row>
    <row r="1110" spans="1:7">
      <c r="A1110" s="147">
        <v>2020</v>
      </c>
      <c r="B1110" s="147" t="s">
        <v>260</v>
      </c>
      <c r="C1110" s="148" t="s">
        <v>133</v>
      </c>
      <c r="D1110" s="147" t="s">
        <v>6</v>
      </c>
      <c r="E1110" s="147" t="s">
        <v>218</v>
      </c>
      <c r="F1110" s="149">
        <v>66.240391766983095</v>
      </c>
      <c r="G1110" s="148" t="s">
        <v>219</v>
      </c>
    </row>
    <row r="1111" spans="1:7">
      <c r="A1111" s="147">
        <v>2021</v>
      </c>
      <c r="B1111" s="147" t="s">
        <v>260</v>
      </c>
      <c r="C1111" s="148" t="s">
        <v>133</v>
      </c>
      <c r="D1111" s="147" t="s">
        <v>6</v>
      </c>
      <c r="E1111" s="147" t="s">
        <v>218</v>
      </c>
      <c r="F1111" s="149">
        <v>83.154280520172122</v>
      </c>
      <c r="G1111" s="148" t="s">
        <v>219</v>
      </c>
    </row>
    <row r="1112" spans="1:7">
      <c r="A1112" s="147">
        <v>2022</v>
      </c>
      <c r="B1112" s="147" t="s">
        <v>260</v>
      </c>
      <c r="C1112" s="148" t="s">
        <v>133</v>
      </c>
      <c r="D1112" s="147" t="s">
        <v>6</v>
      </c>
      <c r="E1112" s="147" t="s">
        <v>218</v>
      </c>
      <c r="F1112" s="149">
        <v>96.300601137858408</v>
      </c>
      <c r="G1112" s="148" t="s">
        <v>219</v>
      </c>
    </row>
    <row r="1113" spans="1:7">
      <c r="A1113" s="147" t="s">
        <v>185</v>
      </c>
      <c r="B1113" s="147" t="s">
        <v>260</v>
      </c>
      <c r="C1113" s="148" t="s">
        <v>133</v>
      </c>
      <c r="D1113" s="147" t="s">
        <v>6</v>
      </c>
      <c r="E1113" s="147" t="s">
        <v>218</v>
      </c>
      <c r="F1113" s="149">
        <v>93.181811016563756</v>
      </c>
      <c r="G1113" s="148" t="s">
        <v>219</v>
      </c>
    </row>
    <row r="1114" spans="1:7">
      <c r="A1114" s="147" t="s">
        <v>107</v>
      </c>
      <c r="B1114" s="147" t="s">
        <v>260</v>
      </c>
      <c r="C1114" s="148" t="s">
        <v>133</v>
      </c>
      <c r="D1114" s="147" t="s">
        <v>6</v>
      </c>
      <c r="E1114" s="147" t="s">
        <v>218</v>
      </c>
      <c r="F1114" s="149">
        <v>101.93762984040517</v>
      </c>
      <c r="G1114" s="148" t="s">
        <v>219</v>
      </c>
    </row>
    <row r="1115" spans="1:7">
      <c r="A1115" s="147">
        <v>2018</v>
      </c>
      <c r="B1115" s="147" t="s">
        <v>260</v>
      </c>
      <c r="C1115" s="148" t="s">
        <v>133</v>
      </c>
      <c r="D1115" s="147" t="s">
        <v>7</v>
      </c>
      <c r="E1115" s="147" t="s">
        <v>218</v>
      </c>
      <c r="F1115" s="149">
        <v>64.576569016847557</v>
      </c>
      <c r="G1115" s="148" t="s">
        <v>219</v>
      </c>
    </row>
    <row r="1116" spans="1:7">
      <c r="A1116" s="147">
        <v>2019</v>
      </c>
      <c r="B1116" s="147" t="s">
        <v>260</v>
      </c>
      <c r="C1116" s="148" t="s">
        <v>133</v>
      </c>
      <c r="D1116" s="147" t="s">
        <v>7</v>
      </c>
      <c r="E1116" s="147" t="s">
        <v>218</v>
      </c>
      <c r="F1116" s="149">
        <v>59.148321150100017</v>
      </c>
      <c r="G1116" s="148" t="s">
        <v>219</v>
      </c>
    </row>
    <row r="1117" spans="1:7">
      <c r="A1117" s="147">
        <v>2020</v>
      </c>
      <c r="B1117" s="147" t="s">
        <v>260</v>
      </c>
      <c r="C1117" s="148" t="s">
        <v>133</v>
      </c>
      <c r="D1117" s="147" t="s">
        <v>7</v>
      </c>
      <c r="E1117" s="147" t="s">
        <v>218</v>
      </c>
      <c r="F1117" s="149">
        <v>27.959110301223923</v>
      </c>
      <c r="G1117" s="148" t="s">
        <v>219</v>
      </c>
    </row>
    <row r="1118" spans="1:7">
      <c r="A1118" s="147">
        <v>2021</v>
      </c>
      <c r="B1118" s="147" t="s">
        <v>260</v>
      </c>
      <c r="C1118" s="148" t="s">
        <v>133</v>
      </c>
      <c r="D1118" s="147" t="s">
        <v>7</v>
      </c>
      <c r="E1118" s="147" t="s">
        <v>218</v>
      </c>
      <c r="F1118" s="149">
        <v>32.576693983158613</v>
      </c>
      <c r="G1118" s="148" t="s">
        <v>219</v>
      </c>
    </row>
    <row r="1119" spans="1:7">
      <c r="A1119" s="147">
        <v>2022</v>
      </c>
      <c r="B1119" s="147" t="s">
        <v>260</v>
      </c>
      <c r="C1119" s="148" t="s">
        <v>133</v>
      </c>
      <c r="D1119" s="147" t="s">
        <v>7</v>
      </c>
      <c r="E1119" s="147" t="s">
        <v>218</v>
      </c>
      <c r="F1119" s="149">
        <v>37.523359842213573</v>
      </c>
      <c r="G1119" s="148" t="s">
        <v>219</v>
      </c>
    </row>
    <row r="1120" spans="1:7">
      <c r="A1120" s="147" t="s">
        <v>185</v>
      </c>
      <c r="B1120" s="147" t="s">
        <v>260</v>
      </c>
      <c r="C1120" s="148" t="s">
        <v>133</v>
      </c>
      <c r="D1120" s="147" t="s">
        <v>7</v>
      </c>
      <c r="E1120" s="147" t="s">
        <v>218</v>
      </c>
      <c r="F1120" s="149">
        <v>40.510199472227804</v>
      </c>
      <c r="G1120" s="148" t="s">
        <v>219</v>
      </c>
    </row>
    <row r="1121" spans="1:7">
      <c r="A1121" s="147" t="s">
        <v>107</v>
      </c>
      <c r="B1121" s="147" t="s">
        <v>260</v>
      </c>
      <c r="C1121" s="148" t="s">
        <v>133</v>
      </c>
      <c r="D1121" s="147" t="s">
        <v>7</v>
      </c>
      <c r="E1121" s="147" t="s">
        <v>218</v>
      </c>
      <c r="F1121" s="149">
        <v>50.431614954444242</v>
      </c>
      <c r="G1121" s="148" t="s">
        <v>219</v>
      </c>
    </row>
    <row r="1122" spans="1:7">
      <c r="A1122" s="147">
        <v>2018</v>
      </c>
      <c r="B1122" s="147" t="s">
        <v>260</v>
      </c>
      <c r="C1122" s="148" t="s">
        <v>133</v>
      </c>
      <c r="D1122" s="147" t="s">
        <v>8</v>
      </c>
      <c r="E1122" s="147" t="s">
        <v>218</v>
      </c>
      <c r="F1122" s="149">
        <v>94.532468275001065</v>
      </c>
      <c r="G1122" s="148" t="s">
        <v>219</v>
      </c>
    </row>
    <row r="1123" spans="1:7">
      <c r="A1123" s="147">
        <v>2019</v>
      </c>
      <c r="B1123" s="147" t="s">
        <v>260</v>
      </c>
      <c r="C1123" s="148" t="s">
        <v>133</v>
      </c>
      <c r="D1123" s="147" t="s">
        <v>8</v>
      </c>
      <c r="E1123" s="147" t="s">
        <v>218</v>
      </c>
      <c r="F1123" s="149">
        <v>93.650230849845514</v>
      </c>
      <c r="G1123" s="148" t="s">
        <v>219</v>
      </c>
    </row>
    <row r="1124" spans="1:7">
      <c r="A1124" s="147">
        <v>2020</v>
      </c>
      <c r="B1124" s="147" t="s">
        <v>260</v>
      </c>
      <c r="C1124" s="148" t="s">
        <v>133</v>
      </c>
      <c r="D1124" s="147" t="s">
        <v>8</v>
      </c>
      <c r="E1124" s="147" t="s">
        <v>218</v>
      </c>
      <c r="F1124" s="149">
        <v>93.975284129148477</v>
      </c>
      <c r="G1124" s="148" t="s">
        <v>219</v>
      </c>
    </row>
    <row r="1125" spans="1:7">
      <c r="A1125" s="147">
        <v>2021</v>
      </c>
      <c r="B1125" s="147" t="s">
        <v>260</v>
      </c>
      <c r="C1125" s="148" t="s">
        <v>133</v>
      </c>
      <c r="D1125" s="147" t="s">
        <v>8</v>
      </c>
      <c r="E1125" s="147" t="s">
        <v>218</v>
      </c>
      <c r="F1125" s="149">
        <v>98.534929338455854</v>
      </c>
      <c r="G1125" s="148" t="s">
        <v>219</v>
      </c>
    </row>
    <row r="1126" spans="1:7">
      <c r="A1126" s="147">
        <v>2022</v>
      </c>
      <c r="B1126" s="147" t="s">
        <v>260</v>
      </c>
      <c r="C1126" s="148" t="s">
        <v>133</v>
      </c>
      <c r="D1126" s="147" t="s">
        <v>8</v>
      </c>
      <c r="E1126" s="147" t="s">
        <v>218</v>
      </c>
      <c r="F1126" s="149">
        <v>96.449447467731346</v>
      </c>
      <c r="G1126" s="148" t="s">
        <v>219</v>
      </c>
    </row>
    <row r="1127" spans="1:7">
      <c r="A1127" s="147" t="s">
        <v>185</v>
      </c>
      <c r="B1127" s="147" t="s">
        <v>260</v>
      </c>
      <c r="C1127" s="148" t="s">
        <v>133</v>
      </c>
      <c r="D1127" s="147" t="s">
        <v>8</v>
      </c>
      <c r="E1127" s="147" t="s">
        <v>218</v>
      </c>
      <c r="F1127" s="149">
        <v>102.45852682799752</v>
      </c>
      <c r="G1127" s="148" t="s">
        <v>219</v>
      </c>
    </row>
    <row r="1128" spans="1:7">
      <c r="A1128" s="147" t="s">
        <v>107</v>
      </c>
      <c r="B1128" s="147" t="s">
        <v>260</v>
      </c>
      <c r="C1128" s="148" t="s">
        <v>133</v>
      </c>
      <c r="D1128" s="147" t="s">
        <v>8</v>
      </c>
      <c r="E1128" s="147" t="s">
        <v>218</v>
      </c>
      <c r="F1128" s="149">
        <v>108.68497430251244</v>
      </c>
      <c r="G1128" s="148" t="s">
        <v>219</v>
      </c>
    </row>
    <row r="1129" spans="1:7">
      <c r="A1129" s="147">
        <v>2018</v>
      </c>
      <c r="B1129" s="147" t="s">
        <v>260</v>
      </c>
      <c r="C1129" s="148" t="s">
        <v>133</v>
      </c>
      <c r="D1129" s="147" t="s">
        <v>9</v>
      </c>
      <c r="E1129" s="147" t="s">
        <v>218</v>
      </c>
      <c r="F1129" s="149">
        <v>71.105947311626224</v>
      </c>
      <c r="G1129" s="148" t="s">
        <v>219</v>
      </c>
    </row>
    <row r="1130" spans="1:7">
      <c r="A1130" s="147">
        <v>2019</v>
      </c>
      <c r="B1130" s="147" t="s">
        <v>260</v>
      </c>
      <c r="C1130" s="148" t="s">
        <v>133</v>
      </c>
      <c r="D1130" s="147" t="s">
        <v>9</v>
      </c>
      <c r="E1130" s="147" t="s">
        <v>218</v>
      </c>
      <c r="F1130" s="149">
        <v>75.935783335094314</v>
      </c>
      <c r="G1130" s="148" t="s">
        <v>219</v>
      </c>
    </row>
    <row r="1131" spans="1:7">
      <c r="A1131" s="147">
        <v>2020</v>
      </c>
      <c r="B1131" s="147" t="s">
        <v>260</v>
      </c>
      <c r="C1131" s="148" t="s">
        <v>133</v>
      </c>
      <c r="D1131" s="147" t="s">
        <v>9</v>
      </c>
      <c r="E1131" s="147" t="s">
        <v>218</v>
      </c>
      <c r="F1131" s="149">
        <v>73.659543130254718</v>
      </c>
      <c r="G1131" s="148" t="s">
        <v>219</v>
      </c>
    </row>
    <row r="1132" spans="1:7">
      <c r="A1132" s="147">
        <v>2021</v>
      </c>
      <c r="B1132" s="147" t="s">
        <v>260</v>
      </c>
      <c r="C1132" s="148" t="s">
        <v>133</v>
      </c>
      <c r="D1132" s="147" t="s">
        <v>9</v>
      </c>
      <c r="E1132" s="147" t="s">
        <v>218</v>
      </c>
      <c r="F1132" s="149">
        <v>78.552091937218265</v>
      </c>
      <c r="G1132" s="148" t="s">
        <v>219</v>
      </c>
    </row>
    <row r="1133" spans="1:7">
      <c r="A1133" s="147">
        <v>2022</v>
      </c>
      <c r="B1133" s="147" t="s">
        <v>260</v>
      </c>
      <c r="C1133" s="148" t="s">
        <v>133</v>
      </c>
      <c r="D1133" s="147" t="s">
        <v>9</v>
      </c>
      <c r="E1133" s="147" t="s">
        <v>218</v>
      </c>
      <c r="F1133" s="149">
        <v>101.08577931297114</v>
      </c>
      <c r="G1133" s="148" t="s">
        <v>219</v>
      </c>
    </row>
    <row r="1134" spans="1:7">
      <c r="A1134" s="147" t="s">
        <v>185</v>
      </c>
      <c r="B1134" s="147" t="s">
        <v>260</v>
      </c>
      <c r="C1134" s="148" t="s">
        <v>133</v>
      </c>
      <c r="D1134" s="147" t="s">
        <v>9</v>
      </c>
      <c r="E1134" s="147" t="s">
        <v>218</v>
      </c>
      <c r="F1134" s="149">
        <v>73.616944747775221</v>
      </c>
      <c r="G1134" s="148" t="s">
        <v>219</v>
      </c>
    </row>
    <row r="1135" spans="1:7">
      <c r="A1135" s="147" t="s">
        <v>107</v>
      </c>
      <c r="B1135" s="147" t="s">
        <v>260</v>
      </c>
      <c r="C1135" s="148" t="s">
        <v>133</v>
      </c>
      <c r="D1135" s="147" t="s">
        <v>9</v>
      </c>
      <c r="E1135" s="147" t="s">
        <v>218</v>
      </c>
      <c r="F1135" s="149">
        <v>78.173421952040684</v>
      </c>
      <c r="G1135" s="148" t="s">
        <v>219</v>
      </c>
    </row>
    <row r="1136" spans="1:7">
      <c r="A1136" s="147">
        <v>2018</v>
      </c>
      <c r="B1136" s="147" t="s">
        <v>260</v>
      </c>
      <c r="C1136" s="148" t="s">
        <v>133</v>
      </c>
      <c r="D1136" s="147" t="s">
        <v>70</v>
      </c>
      <c r="E1136" s="147" t="s">
        <v>218</v>
      </c>
      <c r="F1136" s="149">
        <v>114.33029717247686</v>
      </c>
      <c r="G1136" s="148" t="s">
        <v>219</v>
      </c>
    </row>
    <row r="1137" spans="1:7">
      <c r="A1137" s="147">
        <v>2019</v>
      </c>
      <c r="B1137" s="147" t="s">
        <v>260</v>
      </c>
      <c r="C1137" s="148" t="s">
        <v>133</v>
      </c>
      <c r="D1137" s="147" t="s">
        <v>70</v>
      </c>
      <c r="E1137" s="147" t="s">
        <v>218</v>
      </c>
      <c r="F1137" s="149">
        <v>140.13225144004716</v>
      </c>
      <c r="G1137" s="148" t="s">
        <v>219</v>
      </c>
    </row>
    <row r="1138" spans="1:7">
      <c r="A1138" s="147">
        <v>2020</v>
      </c>
      <c r="B1138" s="147" t="s">
        <v>260</v>
      </c>
      <c r="C1138" s="148" t="s">
        <v>133</v>
      </c>
      <c r="D1138" s="147" t="s">
        <v>70</v>
      </c>
      <c r="E1138" s="147" t="s">
        <v>218</v>
      </c>
      <c r="F1138" s="149">
        <v>124.9308575751248</v>
      </c>
      <c r="G1138" s="148" t="s">
        <v>219</v>
      </c>
    </row>
    <row r="1139" spans="1:7">
      <c r="A1139" s="147">
        <v>2021</v>
      </c>
      <c r="B1139" s="147" t="s">
        <v>260</v>
      </c>
      <c r="C1139" s="148" t="s">
        <v>133</v>
      </c>
      <c r="D1139" s="147" t="s">
        <v>70</v>
      </c>
      <c r="E1139" s="147" t="s">
        <v>218</v>
      </c>
      <c r="F1139" s="149">
        <v>76.588492197552029</v>
      </c>
      <c r="G1139" s="148" t="s">
        <v>219</v>
      </c>
    </row>
    <row r="1140" spans="1:7">
      <c r="A1140" s="147">
        <v>2022</v>
      </c>
      <c r="B1140" s="147" t="s">
        <v>260</v>
      </c>
      <c r="C1140" s="148" t="s">
        <v>133</v>
      </c>
      <c r="D1140" s="147" t="s">
        <v>70</v>
      </c>
      <c r="E1140" s="147" t="s">
        <v>218</v>
      </c>
      <c r="F1140" s="149">
        <v>88.668375295227378</v>
      </c>
      <c r="G1140" s="148" t="s">
        <v>219</v>
      </c>
    </row>
    <row r="1141" spans="1:7">
      <c r="A1141" s="147" t="s">
        <v>185</v>
      </c>
      <c r="B1141" s="147" t="s">
        <v>260</v>
      </c>
      <c r="C1141" s="148" t="s">
        <v>133</v>
      </c>
      <c r="D1141" s="147" t="s">
        <v>70</v>
      </c>
      <c r="E1141" s="147" t="s">
        <v>218</v>
      </c>
      <c r="F1141" s="149">
        <v>147.23206065087055</v>
      </c>
      <c r="G1141" s="148" t="s">
        <v>219</v>
      </c>
    </row>
    <row r="1142" spans="1:7">
      <c r="A1142" s="147" t="s">
        <v>107</v>
      </c>
      <c r="B1142" s="147" t="s">
        <v>260</v>
      </c>
      <c r="C1142" s="148" t="s">
        <v>133</v>
      </c>
      <c r="D1142" s="147" t="s">
        <v>70</v>
      </c>
      <c r="E1142" s="147" t="s">
        <v>218</v>
      </c>
      <c r="F1142" s="149">
        <v>148.23553695703714</v>
      </c>
      <c r="G1142" s="148" t="s">
        <v>219</v>
      </c>
    </row>
    <row r="1143" spans="1:7">
      <c r="A1143" s="147">
        <v>2018</v>
      </c>
      <c r="B1143" s="147" t="s">
        <v>260</v>
      </c>
      <c r="C1143" s="148" t="s">
        <v>133</v>
      </c>
      <c r="D1143" s="147" t="s">
        <v>10</v>
      </c>
      <c r="E1143" s="147" t="s">
        <v>218</v>
      </c>
      <c r="F1143" s="149">
        <v>4.6885462477957409</v>
      </c>
      <c r="G1143" s="148" t="s">
        <v>219</v>
      </c>
    </row>
    <row r="1144" spans="1:7">
      <c r="A1144" s="147">
        <v>2019</v>
      </c>
      <c r="B1144" s="147" t="s">
        <v>260</v>
      </c>
      <c r="C1144" s="148" t="s">
        <v>133</v>
      </c>
      <c r="D1144" s="147" t="s">
        <v>10</v>
      </c>
      <c r="E1144" s="147" t="s">
        <v>218</v>
      </c>
      <c r="F1144" s="149">
        <v>4.45123319268804</v>
      </c>
      <c r="G1144" s="148" t="s">
        <v>219</v>
      </c>
    </row>
    <row r="1145" spans="1:7">
      <c r="A1145" s="147">
        <v>2020</v>
      </c>
      <c r="B1145" s="147" t="s">
        <v>260</v>
      </c>
      <c r="C1145" s="148" t="s">
        <v>133</v>
      </c>
      <c r="D1145" s="147" t="s">
        <v>10</v>
      </c>
      <c r="E1145" s="147" t="s">
        <v>218</v>
      </c>
      <c r="F1145" s="149">
        <v>3.0968273519019625</v>
      </c>
      <c r="G1145" s="148" t="s">
        <v>219</v>
      </c>
    </row>
    <row r="1146" spans="1:7">
      <c r="A1146" s="147">
        <v>2021</v>
      </c>
      <c r="B1146" s="147" t="s">
        <v>260</v>
      </c>
      <c r="C1146" s="148" t="s">
        <v>133</v>
      </c>
      <c r="D1146" s="147" t="s">
        <v>10</v>
      </c>
      <c r="E1146" s="147" t="s">
        <v>218</v>
      </c>
      <c r="F1146" s="149">
        <v>3.2711199044316781</v>
      </c>
      <c r="G1146" s="148" t="s">
        <v>219</v>
      </c>
    </row>
    <row r="1147" spans="1:7">
      <c r="A1147" s="147">
        <v>2022</v>
      </c>
      <c r="B1147" s="147" t="s">
        <v>260</v>
      </c>
      <c r="C1147" s="148" t="s">
        <v>133</v>
      </c>
      <c r="D1147" s="147" t="s">
        <v>10</v>
      </c>
      <c r="E1147" s="147" t="s">
        <v>218</v>
      </c>
      <c r="F1147" s="149">
        <v>3.6820723451617448</v>
      </c>
      <c r="G1147" s="148" t="s">
        <v>219</v>
      </c>
    </row>
    <row r="1148" spans="1:7">
      <c r="A1148" s="147" t="s">
        <v>185</v>
      </c>
      <c r="B1148" s="147" t="s">
        <v>260</v>
      </c>
      <c r="C1148" s="148" t="s">
        <v>133</v>
      </c>
      <c r="D1148" s="147" t="s">
        <v>10</v>
      </c>
      <c r="E1148" s="147" t="s">
        <v>218</v>
      </c>
      <c r="F1148" s="149">
        <v>3.8639796905097956</v>
      </c>
      <c r="G1148" s="148" t="s">
        <v>219</v>
      </c>
    </row>
    <row r="1149" spans="1:7">
      <c r="A1149" s="147" t="s">
        <v>107</v>
      </c>
      <c r="B1149" s="147" t="s">
        <v>260</v>
      </c>
      <c r="C1149" s="148" t="s">
        <v>133</v>
      </c>
      <c r="D1149" s="147" t="s">
        <v>10</v>
      </c>
      <c r="E1149" s="147" t="s">
        <v>218</v>
      </c>
      <c r="F1149" s="149">
        <v>4.2179820004408866</v>
      </c>
      <c r="G1149" s="148" t="s">
        <v>219</v>
      </c>
    </row>
    <row r="1150" spans="1:7">
      <c r="A1150" s="147">
        <v>2018</v>
      </c>
      <c r="B1150" s="147" t="s">
        <v>260</v>
      </c>
      <c r="C1150" s="148" t="s">
        <v>133</v>
      </c>
      <c r="D1150" s="147" t="s">
        <v>59</v>
      </c>
      <c r="E1150" s="147" t="s">
        <v>218</v>
      </c>
      <c r="F1150" s="149">
        <v>0.71332494781087685</v>
      </c>
      <c r="G1150" s="148" t="s">
        <v>219</v>
      </c>
    </row>
    <row r="1151" spans="1:7">
      <c r="A1151" s="147">
        <v>2019</v>
      </c>
      <c r="B1151" s="147" t="s">
        <v>260</v>
      </c>
      <c r="C1151" s="148" t="s">
        <v>133</v>
      </c>
      <c r="D1151" s="147" t="s">
        <v>59</v>
      </c>
      <c r="E1151" s="147" t="s">
        <v>218</v>
      </c>
      <c r="F1151" s="149">
        <v>1.0816007413407034</v>
      </c>
      <c r="G1151" s="148" t="s">
        <v>219</v>
      </c>
    </row>
    <row r="1152" spans="1:7">
      <c r="A1152" s="147">
        <v>2020</v>
      </c>
      <c r="B1152" s="147" t="s">
        <v>260</v>
      </c>
      <c r="C1152" s="148" t="s">
        <v>133</v>
      </c>
      <c r="D1152" s="147" t="s">
        <v>59</v>
      </c>
      <c r="E1152" s="147" t="s">
        <v>218</v>
      </c>
      <c r="F1152" s="149">
        <v>1.0508539454107575</v>
      </c>
      <c r="G1152" s="148" t="s">
        <v>219</v>
      </c>
    </row>
    <row r="1153" spans="1:7">
      <c r="A1153" s="147">
        <v>2021</v>
      </c>
      <c r="B1153" s="147" t="s">
        <v>260</v>
      </c>
      <c r="C1153" s="148" t="s">
        <v>133</v>
      </c>
      <c r="D1153" s="147" t="s">
        <v>59</v>
      </c>
      <c r="E1153" s="147" t="s">
        <v>218</v>
      </c>
      <c r="F1153" s="149">
        <v>0.99636771655428646</v>
      </c>
      <c r="G1153" s="148" t="s">
        <v>219</v>
      </c>
    </row>
    <row r="1154" spans="1:7">
      <c r="A1154" s="147">
        <v>2022</v>
      </c>
      <c r="B1154" s="147" t="s">
        <v>260</v>
      </c>
      <c r="C1154" s="148" t="s">
        <v>133</v>
      </c>
      <c r="D1154" s="147" t="s">
        <v>59</v>
      </c>
      <c r="E1154" s="147" t="s">
        <v>218</v>
      </c>
      <c r="F1154" s="149">
        <v>1.0670730012090075</v>
      </c>
      <c r="G1154" s="148" t="s">
        <v>219</v>
      </c>
    </row>
    <row r="1155" spans="1:7">
      <c r="A1155" s="147" t="s">
        <v>185</v>
      </c>
      <c r="B1155" s="147" t="s">
        <v>260</v>
      </c>
      <c r="C1155" s="148" t="s">
        <v>133</v>
      </c>
      <c r="D1155" s="147" t="s">
        <v>59</v>
      </c>
      <c r="E1155" s="147" t="s">
        <v>218</v>
      </c>
      <c r="F1155" s="149">
        <v>1.1924823198910994</v>
      </c>
      <c r="G1155" s="148" t="s">
        <v>219</v>
      </c>
    </row>
    <row r="1156" spans="1:7">
      <c r="A1156" s="147" t="s">
        <v>107</v>
      </c>
      <c r="B1156" s="147" t="s">
        <v>260</v>
      </c>
      <c r="C1156" s="148" t="s">
        <v>133</v>
      </c>
      <c r="D1156" s="147" t="s">
        <v>59</v>
      </c>
      <c r="E1156" s="147" t="s">
        <v>218</v>
      </c>
      <c r="F1156" s="149">
        <v>1.0579090587097033</v>
      </c>
      <c r="G1156" s="148" t="s">
        <v>219</v>
      </c>
    </row>
    <row r="1157" spans="1:7">
      <c r="A1157" s="147">
        <v>2018</v>
      </c>
      <c r="B1157" s="147" t="s">
        <v>260</v>
      </c>
      <c r="C1157" s="148" t="s">
        <v>133</v>
      </c>
      <c r="D1157" s="147" t="s">
        <v>66</v>
      </c>
      <c r="E1157" s="147" t="s">
        <v>218</v>
      </c>
      <c r="F1157" s="149">
        <v>11.429886561784889</v>
      </c>
      <c r="G1157" s="148" t="s">
        <v>219</v>
      </c>
    </row>
    <row r="1158" spans="1:7">
      <c r="A1158" s="147">
        <v>2019</v>
      </c>
      <c r="B1158" s="147" t="s">
        <v>260</v>
      </c>
      <c r="C1158" s="148" t="s">
        <v>133</v>
      </c>
      <c r="D1158" s="147" t="s">
        <v>66</v>
      </c>
      <c r="E1158" s="147" t="s">
        <v>218</v>
      </c>
      <c r="F1158" s="149">
        <v>11.812453705330904</v>
      </c>
      <c r="G1158" s="148" t="s">
        <v>219</v>
      </c>
    </row>
    <row r="1159" spans="1:7">
      <c r="A1159" s="147">
        <v>2020</v>
      </c>
      <c r="B1159" s="147" t="s">
        <v>260</v>
      </c>
      <c r="C1159" s="148" t="s">
        <v>133</v>
      </c>
      <c r="D1159" s="147" t="s">
        <v>66</v>
      </c>
      <c r="E1159" s="147" t="s">
        <v>218</v>
      </c>
      <c r="F1159" s="149">
        <v>4.8231036042752997</v>
      </c>
      <c r="G1159" s="148" t="s">
        <v>219</v>
      </c>
    </row>
    <row r="1160" spans="1:7">
      <c r="A1160" s="147">
        <v>2021</v>
      </c>
      <c r="B1160" s="147" t="s">
        <v>260</v>
      </c>
      <c r="C1160" s="148" t="s">
        <v>133</v>
      </c>
      <c r="D1160" s="147" t="s">
        <v>66</v>
      </c>
      <c r="E1160" s="147" t="s">
        <v>218</v>
      </c>
      <c r="F1160" s="149">
        <v>4.9079525544229128</v>
      </c>
      <c r="G1160" s="148" t="s">
        <v>219</v>
      </c>
    </row>
    <row r="1161" spans="1:7">
      <c r="A1161" s="147">
        <v>2022</v>
      </c>
      <c r="B1161" s="147" t="s">
        <v>260</v>
      </c>
      <c r="C1161" s="148" t="s">
        <v>133</v>
      </c>
      <c r="D1161" s="147" t="s">
        <v>66</v>
      </c>
      <c r="E1161" s="147" t="s">
        <v>218</v>
      </c>
      <c r="F1161" s="149">
        <v>5.9066211483078872</v>
      </c>
      <c r="G1161" s="148" t="s">
        <v>219</v>
      </c>
    </row>
    <row r="1162" spans="1:7">
      <c r="A1162" s="147" t="s">
        <v>185</v>
      </c>
      <c r="B1162" s="147" t="s">
        <v>260</v>
      </c>
      <c r="C1162" s="148" t="s">
        <v>133</v>
      </c>
      <c r="D1162" s="147" t="s">
        <v>66</v>
      </c>
      <c r="E1162" s="147" t="s">
        <v>218</v>
      </c>
      <c r="F1162" s="149">
        <v>7.3545426165371133</v>
      </c>
      <c r="G1162" s="148" t="s">
        <v>219</v>
      </c>
    </row>
    <row r="1163" spans="1:7">
      <c r="A1163" s="147" t="s">
        <v>107</v>
      </c>
      <c r="B1163" s="147" t="s">
        <v>260</v>
      </c>
      <c r="C1163" s="148" t="s">
        <v>133</v>
      </c>
      <c r="D1163" s="147" t="s">
        <v>66</v>
      </c>
      <c r="E1163" s="147" t="s">
        <v>218</v>
      </c>
      <c r="F1163" s="149">
        <v>8.3771846753302324</v>
      </c>
      <c r="G1163" s="148" t="s">
        <v>219</v>
      </c>
    </row>
    <row r="1164" spans="1:7">
      <c r="A1164" s="147">
        <v>2018</v>
      </c>
      <c r="B1164" s="147" t="s">
        <v>260</v>
      </c>
      <c r="C1164" s="148" t="s">
        <v>133</v>
      </c>
      <c r="D1164" s="147" t="s">
        <v>61</v>
      </c>
      <c r="E1164" s="147" t="s">
        <v>218</v>
      </c>
      <c r="F1164" s="149">
        <v>17.371142839447572</v>
      </c>
      <c r="G1164" s="148" t="s">
        <v>219</v>
      </c>
    </row>
    <row r="1165" spans="1:7">
      <c r="A1165" s="147">
        <v>2019</v>
      </c>
      <c r="B1165" s="147" t="s">
        <v>260</v>
      </c>
      <c r="C1165" s="148" t="s">
        <v>133</v>
      </c>
      <c r="D1165" s="147" t="s">
        <v>61</v>
      </c>
      <c r="E1165" s="147" t="s">
        <v>218</v>
      </c>
      <c r="F1165" s="149">
        <v>24.058167414213855</v>
      </c>
      <c r="G1165" s="148" t="s">
        <v>219</v>
      </c>
    </row>
    <row r="1166" spans="1:7">
      <c r="A1166" s="147">
        <v>2020</v>
      </c>
      <c r="B1166" s="147" t="s">
        <v>260</v>
      </c>
      <c r="C1166" s="148" t="s">
        <v>133</v>
      </c>
      <c r="D1166" s="147" t="s">
        <v>61</v>
      </c>
      <c r="E1166" s="147" t="s">
        <v>218</v>
      </c>
      <c r="F1166" s="149">
        <v>19.331525562328174</v>
      </c>
      <c r="G1166" s="148" t="s">
        <v>219</v>
      </c>
    </row>
    <row r="1167" spans="1:7">
      <c r="A1167" s="147">
        <v>2021</v>
      </c>
      <c r="B1167" s="147" t="s">
        <v>260</v>
      </c>
      <c r="C1167" s="148" t="s">
        <v>133</v>
      </c>
      <c r="D1167" s="147" t="s">
        <v>61</v>
      </c>
      <c r="E1167" s="147" t="s">
        <v>218</v>
      </c>
      <c r="F1167" s="149">
        <v>19.159109164630877</v>
      </c>
      <c r="G1167" s="148" t="s">
        <v>219</v>
      </c>
    </row>
    <row r="1168" spans="1:7">
      <c r="A1168" s="147">
        <v>2022</v>
      </c>
      <c r="B1168" s="147" t="s">
        <v>260</v>
      </c>
      <c r="C1168" s="148" t="s">
        <v>133</v>
      </c>
      <c r="D1168" s="147" t="s">
        <v>61</v>
      </c>
      <c r="E1168" s="147" t="s">
        <v>218</v>
      </c>
      <c r="F1168" s="149">
        <v>14.050606828404289</v>
      </c>
      <c r="G1168" s="148" t="s">
        <v>219</v>
      </c>
    </row>
    <row r="1169" spans="1:7">
      <c r="A1169" s="147" t="s">
        <v>185</v>
      </c>
      <c r="B1169" s="147" t="s">
        <v>260</v>
      </c>
      <c r="C1169" s="148" t="s">
        <v>133</v>
      </c>
      <c r="D1169" s="147" t="s">
        <v>61</v>
      </c>
      <c r="E1169" s="147" t="s">
        <v>218</v>
      </c>
      <c r="F1169" s="149">
        <v>16.672271731094636</v>
      </c>
      <c r="G1169" s="148" t="s">
        <v>219</v>
      </c>
    </row>
    <row r="1170" spans="1:7">
      <c r="A1170" s="147" t="s">
        <v>107</v>
      </c>
      <c r="B1170" s="147" t="s">
        <v>260</v>
      </c>
      <c r="C1170" s="148" t="s">
        <v>133</v>
      </c>
      <c r="D1170" s="147" t="s">
        <v>61</v>
      </c>
      <c r="E1170" s="147" t="s">
        <v>218</v>
      </c>
      <c r="F1170" s="149">
        <v>14.449470839468823</v>
      </c>
      <c r="G1170" s="148" t="s">
        <v>219</v>
      </c>
    </row>
    <row r="1171" spans="1:7">
      <c r="A1171" s="147">
        <v>2018</v>
      </c>
      <c r="B1171" s="147" t="s">
        <v>261</v>
      </c>
      <c r="C1171" s="148" t="s">
        <v>133</v>
      </c>
      <c r="D1171" s="147" t="s">
        <v>221</v>
      </c>
      <c r="E1171" s="147" t="s">
        <v>218</v>
      </c>
      <c r="F1171" s="149">
        <v>337.49867825088012</v>
      </c>
      <c r="G1171" s="148" t="s">
        <v>219</v>
      </c>
    </row>
    <row r="1172" spans="1:7">
      <c r="A1172" s="147">
        <v>2019</v>
      </c>
      <c r="B1172" s="147" t="s">
        <v>261</v>
      </c>
      <c r="C1172" s="148" t="s">
        <v>133</v>
      </c>
      <c r="D1172" s="147" t="s">
        <v>221</v>
      </c>
      <c r="E1172" s="147" t="s">
        <v>218</v>
      </c>
      <c r="F1172" s="149">
        <v>394.15047693034978</v>
      </c>
      <c r="G1172" s="148" t="s">
        <v>219</v>
      </c>
    </row>
    <row r="1173" spans="1:7">
      <c r="A1173" s="147">
        <v>2020</v>
      </c>
      <c r="B1173" s="147" t="s">
        <v>261</v>
      </c>
      <c r="C1173" s="148" t="s">
        <v>133</v>
      </c>
      <c r="D1173" s="147" t="s">
        <v>221</v>
      </c>
      <c r="E1173" s="147" t="s">
        <v>218</v>
      </c>
      <c r="F1173" s="149">
        <v>473.73404327314842</v>
      </c>
      <c r="G1173" s="148" t="s">
        <v>219</v>
      </c>
    </row>
    <row r="1174" spans="1:7">
      <c r="A1174" s="147">
        <v>2021</v>
      </c>
      <c r="B1174" s="147" t="s">
        <v>261</v>
      </c>
      <c r="C1174" s="148" t="s">
        <v>133</v>
      </c>
      <c r="D1174" s="147" t="s">
        <v>221</v>
      </c>
      <c r="E1174" s="147" t="s">
        <v>218</v>
      </c>
      <c r="F1174" s="149">
        <v>540.06853791670642</v>
      </c>
      <c r="G1174" s="148" t="s">
        <v>219</v>
      </c>
    </row>
    <row r="1175" spans="1:7">
      <c r="A1175" s="147">
        <v>2022</v>
      </c>
      <c r="B1175" s="147" t="s">
        <v>261</v>
      </c>
      <c r="C1175" s="148" t="s">
        <v>133</v>
      </c>
      <c r="D1175" s="147" t="s">
        <v>221</v>
      </c>
      <c r="E1175" s="147" t="s">
        <v>218</v>
      </c>
      <c r="F1175" s="149">
        <v>535.35445906230086</v>
      </c>
      <c r="G1175" s="148" t="s">
        <v>219</v>
      </c>
    </row>
    <row r="1176" spans="1:7">
      <c r="A1176" s="147" t="s">
        <v>185</v>
      </c>
      <c r="B1176" s="147" t="s">
        <v>261</v>
      </c>
      <c r="C1176" s="148" t="s">
        <v>133</v>
      </c>
      <c r="D1176" s="147" t="s">
        <v>221</v>
      </c>
      <c r="E1176" s="147" t="s">
        <v>218</v>
      </c>
      <c r="F1176" s="149">
        <v>494.23288506040711</v>
      </c>
      <c r="G1176" s="148" t="s">
        <v>219</v>
      </c>
    </row>
    <row r="1177" spans="1:7">
      <c r="A1177" s="147" t="s">
        <v>107</v>
      </c>
      <c r="B1177" s="147" t="s">
        <v>261</v>
      </c>
      <c r="C1177" s="148" t="s">
        <v>133</v>
      </c>
      <c r="D1177" s="147" t="s">
        <v>221</v>
      </c>
      <c r="E1177" s="147" t="s">
        <v>218</v>
      </c>
      <c r="F1177" s="149">
        <v>531.41080902691442</v>
      </c>
      <c r="G1177" s="148" t="s">
        <v>219</v>
      </c>
    </row>
    <row r="1178" spans="1:7">
      <c r="A1178" s="147">
        <v>2018</v>
      </c>
      <c r="B1178" s="147" t="s">
        <v>262</v>
      </c>
      <c r="C1178" s="148" t="s">
        <v>133</v>
      </c>
      <c r="D1178" s="147" t="s">
        <v>148</v>
      </c>
      <c r="E1178" s="147" t="s">
        <v>218</v>
      </c>
      <c r="F1178" s="149">
        <v>1716.7149460924045</v>
      </c>
      <c r="G1178" s="148" t="s">
        <v>219</v>
      </c>
    </row>
    <row r="1179" spans="1:7">
      <c r="A1179" s="147">
        <v>2019</v>
      </c>
      <c r="B1179" s="147" t="s">
        <v>262</v>
      </c>
      <c r="C1179" s="148" t="s">
        <v>133</v>
      </c>
      <c r="D1179" s="147" t="s">
        <v>148</v>
      </c>
      <c r="E1179" s="147" t="s">
        <v>218</v>
      </c>
      <c r="F1179" s="149">
        <v>1697.248035080504</v>
      </c>
      <c r="G1179" s="148" t="s">
        <v>219</v>
      </c>
    </row>
    <row r="1180" spans="1:7">
      <c r="A1180" s="147">
        <v>2020</v>
      </c>
      <c r="B1180" s="147" t="s">
        <v>262</v>
      </c>
      <c r="C1180" s="148" t="s">
        <v>133</v>
      </c>
      <c r="D1180" s="147" t="s">
        <v>148</v>
      </c>
      <c r="E1180" s="147" t="s">
        <v>218</v>
      </c>
      <c r="F1180" s="149">
        <v>1551.2691298937318</v>
      </c>
      <c r="G1180" s="148" t="s">
        <v>219</v>
      </c>
    </row>
    <row r="1181" spans="1:7">
      <c r="A1181" s="147">
        <v>2021</v>
      </c>
      <c r="B1181" s="147" t="s">
        <v>262</v>
      </c>
      <c r="C1181" s="148" t="s">
        <v>133</v>
      </c>
      <c r="D1181" s="147" t="s">
        <v>148</v>
      </c>
      <c r="E1181" s="147" t="s">
        <v>218</v>
      </c>
      <c r="F1181" s="149">
        <v>1808.757461023604</v>
      </c>
      <c r="G1181" s="148" t="s">
        <v>219</v>
      </c>
    </row>
    <row r="1182" spans="1:7">
      <c r="A1182" s="147">
        <v>2022</v>
      </c>
      <c r="B1182" s="147" t="s">
        <v>262</v>
      </c>
      <c r="C1182" s="148" t="s">
        <v>133</v>
      </c>
      <c r="D1182" s="147" t="s">
        <v>148</v>
      </c>
      <c r="E1182" s="147" t="s">
        <v>218</v>
      </c>
      <c r="F1182" s="149">
        <v>1919.9420351783369</v>
      </c>
      <c r="G1182" s="148" t="s">
        <v>219</v>
      </c>
    </row>
    <row r="1183" spans="1:7">
      <c r="A1183" s="147" t="s">
        <v>185</v>
      </c>
      <c r="B1183" s="147" t="s">
        <v>262</v>
      </c>
      <c r="C1183" s="148" t="s">
        <v>133</v>
      </c>
      <c r="D1183" s="147" t="s">
        <v>148</v>
      </c>
      <c r="E1183" s="147" t="s">
        <v>218</v>
      </c>
      <c r="F1183" s="149">
        <v>1960.2691697722639</v>
      </c>
      <c r="G1183" s="148" t="s">
        <v>219</v>
      </c>
    </row>
    <row r="1184" spans="1:7">
      <c r="A1184" s="147" t="s">
        <v>107</v>
      </c>
      <c r="B1184" s="147" t="s">
        <v>262</v>
      </c>
      <c r="C1184" s="148" t="s">
        <v>133</v>
      </c>
      <c r="D1184" s="147" t="s">
        <v>148</v>
      </c>
      <c r="E1184" s="147" t="s">
        <v>218</v>
      </c>
      <c r="F1184" s="149">
        <v>2057.7071325474412</v>
      </c>
      <c r="G1184" s="148" t="s">
        <v>219</v>
      </c>
    </row>
    <row r="1185" spans="1:7">
      <c r="A1185" s="147">
        <v>2018</v>
      </c>
      <c r="B1185" s="147" t="s">
        <v>263</v>
      </c>
      <c r="C1185" s="148" t="s">
        <v>133</v>
      </c>
      <c r="D1185" s="147" t="s">
        <v>149</v>
      </c>
      <c r="E1185" s="147" t="s">
        <v>218</v>
      </c>
      <c r="F1185" s="149">
        <v>69.131519636960675</v>
      </c>
      <c r="G1185" s="148" t="s">
        <v>219</v>
      </c>
    </row>
    <row r="1186" spans="1:7">
      <c r="A1186" s="147">
        <v>2019</v>
      </c>
      <c r="B1186" s="147" t="s">
        <v>263</v>
      </c>
      <c r="C1186" s="148" t="s">
        <v>133</v>
      </c>
      <c r="D1186" s="147" t="s">
        <v>149</v>
      </c>
      <c r="E1186" s="147" t="s">
        <v>218</v>
      </c>
      <c r="F1186" s="149">
        <v>66.851961197947972</v>
      </c>
      <c r="G1186" s="148" t="s">
        <v>219</v>
      </c>
    </row>
    <row r="1187" spans="1:7">
      <c r="A1187" s="147">
        <v>2020</v>
      </c>
      <c r="B1187" s="147" t="s">
        <v>263</v>
      </c>
      <c r="C1187" s="148" t="s">
        <v>133</v>
      </c>
      <c r="D1187" s="147" t="s">
        <v>149</v>
      </c>
      <c r="E1187" s="147" t="s">
        <v>218</v>
      </c>
      <c r="F1187" s="149">
        <v>44.111796781891591</v>
      </c>
      <c r="G1187" s="148" t="s">
        <v>219</v>
      </c>
    </row>
    <row r="1188" spans="1:7">
      <c r="A1188" s="147">
        <v>2021</v>
      </c>
      <c r="B1188" s="147" t="s">
        <v>263</v>
      </c>
      <c r="C1188" s="148" t="s">
        <v>133</v>
      </c>
      <c r="D1188" s="147" t="s">
        <v>149</v>
      </c>
      <c r="E1188" s="147" t="s">
        <v>218</v>
      </c>
      <c r="F1188" s="149">
        <v>53.236458740509072</v>
      </c>
      <c r="G1188" s="148" t="s">
        <v>219</v>
      </c>
    </row>
    <row r="1189" spans="1:7">
      <c r="A1189" s="147">
        <v>2022</v>
      </c>
      <c r="B1189" s="147" t="s">
        <v>263</v>
      </c>
      <c r="C1189" s="148" t="s">
        <v>133</v>
      </c>
      <c r="D1189" s="147" t="s">
        <v>149</v>
      </c>
      <c r="E1189" s="147" t="s">
        <v>218</v>
      </c>
      <c r="F1189" s="149">
        <v>60.653426962694851</v>
      </c>
      <c r="G1189" s="148" t="s">
        <v>219</v>
      </c>
    </row>
    <row r="1190" spans="1:7">
      <c r="A1190" s="147" t="s">
        <v>185</v>
      </c>
      <c r="B1190" s="147" t="s">
        <v>263</v>
      </c>
      <c r="C1190" s="148" t="s">
        <v>133</v>
      </c>
      <c r="D1190" s="147" t="s">
        <v>149</v>
      </c>
      <c r="E1190" s="147" t="s">
        <v>218</v>
      </c>
      <c r="F1190" s="149">
        <v>62.760117243885276</v>
      </c>
      <c r="G1190" s="148" t="s">
        <v>219</v>
      </c>
    </row>
    <row r="1191" spans="1:7">
      <c r="A1191" s="147" t="s">
        <v>107</v>
      </c>
      <c r="B1191" s="147" t="s">
        <v>263</v>
      </c>
      <c r="C1191" s="148" t="s">
        <v>133</v>
      </c>
      <c r="D1191" s="147" t="s">
        <v>149</v>
      </c>
      <c r="E1191" s="147" t="s">
        <v>218</v>
      </c>
      <c r="F1191" s="149">
        <v>65.165287051055969</v>
      </c>
      <c r="G1191" s="148" t="s">
        <v>219</v>
      </c>
    </row>
    <row r="1192" spans="1:7">
      <c r="A1192" s="147">
        <v>2018</v>
      </c>
      <c r="B1192" s="147" t="s">
        <v>264</v>
      </c>
      <c r="C1192" s="148" t="s">
        <v>133</v>
      </c>
      <c r="D1192" s="147" t="s">
        <v>136</v>
      </c>
      <c r="E1192" s="147" t="s">
        <v>218</v>
      </c>
      <c r="F1192" s="149">
        <v>1785.8464657293653</v>
      </c>
      <c r="G1192" s="148" t="s">
        <v>219</v>
      </c>
    </row>
    <row r="1193" spans="1:7">
      <c r="A1193" s="147">
        <v>2019</v>
      </c>
      <c r="B1193" s="147" t="s">
        <v>264</v>
      </c>
      <c r="C1193" s="148" t="s">
        <v>133</v>
      </c>
      <c r="D1193" s="147" t="s">
        <v>136</v>
      </c>
      <c r="E1193" s="147" t="s">
        <v>218</v>
      </c>
      <c r="F1193" s="149">
        <v>1764.099996278452</v>
      </c>
      <c r="G1193" s="148" t="s">
        <v>219</v>
      </c>
    </row>
    <row r="1194" spans="1:7">
      <c r="A1194" s="147">
        <v>2020</v>
      </c>
      <c r="B1194" s="147" t="s">
        <v>264</v>
      </c>
      <c r="C1194" s="148" t="s">
        <v>133</v>
      </c>
      <c r="D1194" s="147" t="s">
        <v>136</v>
      </c>
      <c r="E1194" s="147" t="s">
        <v>218</v>
      </c>
      <c r="F1194" s="149">
        <v>1596.1777154331687</v>
      </c>
      <c r="G1194" s="148" t="s">
        <v>219</v>
      </c>
    </row>
    <row r="1195" spans="1:7">
      <c r="A1195" s="147">
        <v>2021</v>
      </c>
      <c r="B1195" s="147" t="s">
        <v>264</v>
      </c>
      <c r="C1195" s="148" t="s">
        <v>133</v>
      </c>
      <c r="D1195" s="147" t="s">
        <v>136</v>
      </c>
      <c r="E1195" s="147" t="s">
        <v>218</v>
      </c>
      <c r="F1195" s="149">
        <v>1862.870633343091</v>
      </c>
      <c r="G1195" s="148" t="s">
        <v>219</v>
      </c>
    </row>
    <row r="1196" spans="1:7">
      <c r="A1196" s="147">
        <v>2022</v>
      </c>
      <c r="B1196" s="147" t="s">
        <v>264</v>
      </c>
      <c r="C1196" s="148" t="s">
        <v>133</v>
      </c>
      <c r="D1196" s="147" t="s">
        <v>136</v>
      </c>
      <c r="E1196" s="147" t="s">
        <v>218</v>
      </c>
      <c r="F1196" s="149">
        <v>1981.489338877936</v>
      </c>
      <c r="G1196" s="148" t="s">
        <v>219</v>
      </c>
    </row>
    <row r="1197" spans="1:7">
      <c r="A1197" s="147" t="s">
        <v>185</v>
      </c>
      <c r="B1197" s="147" t="s">
        <v>264</v>
      </c>
      <c r="C1197" s="148" t="s">
        <v>133</v>
      </c>
      <c r="D1197" s="147" t="s">
        <v>136</v>
      </c>
      <c r="E1197" s="147" t="s">
        <v>218</v>
      </c>
      <c r="F1197" s="149">
        <v>2023.9424069488732</v>
      </c>
      <c r="G1197" s="148" t="s">
        <v>219</v>
      </c>
    </row>
    <row r="1198" spans="1:7">
      <c r="A1198" s="147" t="s">
        <v>107</v>
      </c>
      <c r="B1198" s="147" t="s">
        <v>264</v>
      </c>
      <c r="C1198" s="148" t="s">
        <v>133</v>
      </c>
      <c r="D1198" s="147" t="s">
        <v>136</v>
      </c>
      <c r="E1198" s="147" t="s">
        <v>218</v>
      </c>
      <c r="F1198" s="149">
        <v>2123.8827711506492</v>
      </c>
      <c r="G1198" s="148" t="s">
        <v>219</v>
      </c>
    </row>
    <row r="1199" spans="1:7">
      <c r="A1199" s="147">
        <v>2018</v>
      </c>
      <c r="B1199" s="147" t="s">
        <v>265</v>
      </c>
      <c r="C1199" s="148" t="s">
        <v>133</v>
      </c>
      <c r="D1199" s="147" t="s">
        <v>0</v>
      </c>
      <c r="E1199" s="147" t="s">
        <v>218</v>
      </c>
      <c r="F1199" s="149">
        <v>307.72709622644118</v>
      </c>
      <c r="G1199" s="148" t="s">
        <v>219</v>
      </c>
    </row>
    <row r="1200" spans="1:7">
      <c r="A1200" s="147">
        <v>2019</v>
      </c>
      <c r="B1200" s="147" t="s">
        <v>265</v>
      </c>
      <c r="C1200" s="148" t="s">
        <v>133</v>
      </c>
      <c r="D1200" s="147" t="s">
        <v>0</v>
      </c>
      <c r="E1200" s="147" t="s">
        <v>218</v>
      </c>
      <c r="F1200" s="149">
        <v>339.52572267954429</v>
      </c>
      <c r="G1200" s="148" t="s">
        <v>219</v>
      </c>
    </row>
    <row r="1201" spans="1:7">
      <c r="A1201" s="147">
        <v>2020</v>
      </c>
      <c r="B1201" s="147" t="s">
        <v>265</v>
      </c>
      <c r="C1201" s="148" t="s">
        <v>133</v>
      </c>
      <c r="D1201" s="147" t="s">
        <v>0</v>
      </c>
      <c r="E1201" s="147" t="s">
        <v>218</v>
      </c>
      <c r="F1201" s="149">
        <v>309.49382187109217</v>
      </c>
      <c r="G1201" s="148" t="s">
        <v>219</v>
      </c>
    </row>
    <row r="1202" spans="1:7">
      <c r="A1202" s="147">
        <v>2021</v>
      </c>
      <c r="B1202" s="147" t="s">
        <v>265</v>
      </c>
      <c r="C1202" s="148" t="s">
        <v>133</v>
      </c>
      <c r="D1202" s="147" t="s">
        <v>0</v>
      </c>
      <c r="E1202" s="147" t="s">
        <v>218</v>
      </c>
      <c r="F1202" s="149">
        <v>333.48832144264873</v>
      </c>
      <c r="G1202" s="148" t="s">
        <v>219</v>
      </c>
    </row>
    <row r="1203" spans="1:7">
      <c r="A1203" s="147">
        <v>2022</v>
      </c>
      <c r="B1203" s="147" t="s">
        <v>265</v>
      </c>
      <c r="C1203" s="148" t="s">
        <v>133</v>
      </c>
      <c r="D1203" s="147" t="s">
        <v>0</v>
      </c>
      <c r="E1203" s="147" t="s">
        <v>218</v>
      </c>
      <c r="F1203" s="149">
        <v>333.69678274833609</v>
      </c>
      <c r="G1203" s="148" t="s">
        <v>219</v>
      </c>
    </row>
    <row r="1204" spans="1:7">
      <c r="A1204" s="147" t="s">
        <v>185</v>
      </c>
      <c r="B1204" s="147" t="s">
        <v>265</v>
      </c>
      <c r="C1204" s="148" t="s">
        <v>133</v>
      </c>
      <c r="D1204" s="147" t="s">
        <v>0</v>
      </c>
      <c r="E1204" s="147" t="s">
        <v>218</v>
      </c>
      <c r="F1204" s="149">
        <v>366.13900109033597</v>
      </c>
      <c r="G1204" s="148" t="s">
        <v>219</v>
      </c>
    </row>
    <row r="1205" spans="1:7">
      <c r="A1205" s="147" t="s">
        <v>107</v>
      </c>
      <c r="B1205" s="147" t="s">
        <v>265</v>
      </c>
      <c r="C1205" s="148" t="s">
        <v>133</v>
      </c>
      <c r="D1205" s="147" t="s">
        <v>0</v>
      </c>
      <c r="E1205" s="147" t="s">
        <v>218</v>
      </c>
      <c r="F1205" s="149">
        <v>392.27954631373979</v>
      </c>
      <c r="G1205" s="148" t="s">
        <v>219</v>
      </c>
    </row>
    <row r="1206" spans="1:7">
      <c r="A1206" s="147">
        <v>2018</v>
      </c>
      <c r="B1206" s="147" t="s">
        <v>265</v>
      </c>
      <c r="C1206" s="148" t="s">
        <v>133</v>
      </c>
      <c r="D1206" s="147" t="s">
        <v>1</v>
      </c>
      <c r="E1206" s="147" t="s">
        <v>218</v>
      </c>
      <c r="F1206" s="149">
        <v>98.833963346624998</v>
      </c>
      <c r="G1206" s="148" t="s">
        <v>219</v>
      </c>
    </row>
    <row r="1207" spans="1:7">
      <c r="A1207" s="147">
        <v>2019</v>
      </c>
      <c r="B1207" s="147" t="s">
        <v>265</v>
      </c>
      <c r="C1207" s="148" t="s">
        <v>133</v>
      </c>
      <c r="D1207" s="147" t="s">
        <v>1</v>
      </c>
      <c r="E1207" s="147" t="s">
        <v>218</v>
      </c>
      <c r="F1207" s="149">
        <v>122.46959782519173</v>
      </c>
      <c r="G1207" s="148" t="s">
        <v>219</v>
      </c>
    </row>
    <row r="1208" spans="1:7">
      <c r="A1208" s="147">
        <v>2020</v>
      </c>
      <c r="B1208" s="147" t="s">
        <v>265</v>
      </c>
      <c r="C1208" s="148" t="s">
        <v>133</v>
      </c>
      <c r="D1208" s="147" t="s">
        <v>1</v>
      </c>
      <c r="E1208" s="147" t="s">
        <v>218</v>
      </c>
      <c r="F1208" s="149">
        <v>69.055738453696875</v>
      </c>
      <c r="G1208" s="148" t="s">
        <v>219</v>
      </c>
    </row>
    <row r="1209" spans="1:7">
      <c r="A1209" s="147">
        <v>2021</v>
      </c>
      <c r="B1209" s="147" t="s">
        <v>265</v>
      </c>
      <c r="C1209" s="148" t="s">
        <v>133</v>
      </c>
      <c r="D1209" s="147" t="s">
        <v>1</v>
      </c>
      <c r="E1209" s="147" t="s">
        <v>218</v>
      </c>
      <c r="F1209" s="149">
        <v>90.566659545643901</v>
      </c>
      <c r="G1209" s="148" t="s">
        <v>219</v>
      </c>
    </row>
    <row r="1210" spans="1:7">
      <c r="A1210" s="147">
        <v>2022</v>
      </c>
      <c r="B1210" s="147" t="s">
        <v>265</v>
      </c>
      <c r="C1210" s="148" t="s">
        <v>133</v>
      </c>
      <c r="D1210" s="147" t="s">
        <v>1</v>
      </c>
      <c r="E1210" s="147" t="s">
        <v>218</v>
      </c>
      <c r="F1210" s="149">
        <v>122.83139754381428</v>
      </c>
      <c r="G1210" s="148" t="s">
        <v>219</v>
      </c>
    </row>
    <row r="1211" spans="1:7">
      <c r="A1211" s="147" t="s">
        <v>185</v>
      </c>
      <c r="B1211" s="147" t="s">
        <v>265</v>
      </c>
      <c r="C1211" s="148" t="s">
        <v>133</v>
      </c>
      <c r="D1211" s="147" t="s">
        <v>1</v>
      </c>
      <c r="E1211" s="147" t="s">
        <v>218</v>
      </c>
      <c r="F1211" s="149">
        <v>125.06566211038566</v>
      </c>
      <c r="G1211" s="148" t="s">
        <v>219</v>
      </c>
    </row>
    <row r="1212" spans="1:7">
      <c r="A1212" s="147" t="s">
        <v>107</v>
      </c>
      <c r="B1212" s="147" t="s">
        <v>265</v>
      </c>
      <c r="C1212" s="148" t="s">
        <v>133</v>
      </c>
      <c r="D1212" s="147" t="s">
        <v>1</v>
      </c>
      <c r="E1212" s="147" t="s">
        <v>218</v>
      </c>
      <c r="F1212" s="149">
        <v>244.79453685112614</v>
      </c>
      <c r="G1212" s="148" t="s">
        <v>219</v>
      </c>
    </row>
    <row r="1213" spans="1:7">
      <c r="A1213" s="147">
        <v>2018</v>
      </c>
      <c r="B1213" s="147" t="s">
        <v>265</v>
      </c>
      <c r="C1213" s="148" t="s">
        <v>133</v>
      </c>
      <c r="D1213" s="147" t="s">
        <v>2</v>
      </c>
      <c r="E1213" s="147" t="s">
        <v>218</v>
      </c>
      <c r="F1213" s="149">
        <v>567.56008657215182</v>
      </c>
      <c r="G1213" s="148" t="s">
        <v>219</v>
      </c>
    </row>
    <row r="1214" spans="1:7">
      <c r="A1214" s="147">
        <v>2019</v>
      </c>
      <c r="B1214" s="147" t="s">
        <v>265</v>
      </c>
      <c r="C1214" s="148" t="s">
        <v>133</v>
      </c>
      <c r="D1214" s="147" t="s">
        <v>2</v>
      </c>
      <c r="E1214" s="147" t="s">
        <v>218</v>
      </c>
      <c r="F1214" s="149">
        <v>577.80643490757825</v>
      </c>
      <c r="G1214" s="148" t="s">
        <v>219</v>
      </c>
    </row>
    <row r="1215" spans="1:7">
      <c r="A1215" s="147">
        <v>2020</v>
      </c>
      <c r="B1215" s="147" t="s">
        <v>265</v>
      </c>
      <c r="C1215" s="148" t="s">
        <v>133</v>
      </c>
      <c r="D1215" s="147" t="s">
        <v>2</v>
      </c>
      <c r="E1215" s="147" t="s">
        <v>218</v>
      </c>
      <c r="F1215" s="149">
        <v>457.01556410645674</v>
      </c>
      <c r="G1215" s="148" t="s">
        <v>219</v>
      </c>
    </row>
    <row r="1216" spans="1:7">
      <c r="A1216" s="147">
        <v>2021</v>
      </c>
      <c r="B1216" s="147" t="s">
        <v>265</v>
      </c>
      <c r="C1216" s="148" t="s">
        <v>133</v>
      </c>
      <c r="D1216" s="147" t="s">
        <v>2</v>
      </c>
      <c r="E1216" s="147" t="s">
        <v>218</v>
      </c>
      <c r="F1216" s="149">
        <v>526.01535445875732</v>
      </c>
      <c r="G1216" s="148" t="s">
        <v>219</v>
      </c>
    </row>
    <row r="1217" spans="1:7">
      <c r="A1217" s="147">
        <v>2022</v>
      </c>
      <c r="B1217" s="147" t="s">
        <v>265</v>
      </c>
      <c r="C1217" s="148" t="s">
        <v>133</v>
      </c>
      <c r="D1217" s="147" t="s">
        <v>2</v>
      </c>
      <c r="E1217" s="147" t="s">
        <v>218</v>
      </c>
      <c r="F1217" s="149">
        <v>549.60685309036899</v>
      </c>
      <c r="G1217" s="148" t="s">
        <v>219</v>
      </c>
    </row>
    <row r="1218" spans="1:7">
      <c r="A1218" s="147" t="s">
        <v>185</v>
      </c>
      <c r="B1218" s="147" t="s">
        <v>265</v>
      </c>
      <c r="C1218" s="148" t="s">
        <v>133</v>
      </c>
      <c r="D1218" s="147" t="s">
        <v>2</v>
      </c>
      <c r="E1218" s="147" t="s">
        <v>218</v>
      </c>
      <c r="F1218" s="149">
        <v>574.54426765071855</v>
      </c>
      <c r="G1218" s="148" t="s">
        <v>219</v>
      </c>
    </row>
    <row r="1219" spans="1:7">
      <c r="A1219" s="147" t="s">
        <v>107</v>
      </c>
      <c r="B1219" s="147" t="s">
        <v>265</v>
      </c>
      <c r="C1219" s="148" t="s">
        <v>133</v>
      </c>
      <c r="D1219" s="147" t="s">
        <v>2</v>
      </c>
      <c r="E1219" s="147" t="s">
        <v>218</v>
      </c>
      <c r="F1219" s="149">
        <v>588.75037284678319</v>
      </c>
      <c r="G1219" s="148" t="s">
        <v>219</v>
      </c>
    </row>
    <row r="1220" spans="1:7">
      <c r="A1220" s="147">
        <v>2018</v>
      </c>
      <c r="B1220" s="147" t="s">
        <v>265</v>
      </c>
      <c r="C1220" s="148" t="s">
        <v>133</v>
      </c>
      <c r="D1220" s="147" t="s">
        <v>68</v>
      </c>
      <c r="E1220" s="147" t="s">
        <v>218</v>
      </c>
      <c r="F1220" s="149">
        <v>100.35618316200414</v>
      </c>
      <c r="G1220" s="148" t="s">
        <v>219</v>
      </c>
    </row>
    <row r="1221" spans="1:7">
      <c r="A1221" s="147">
        <v>2019</v>
      </c>
      <c r="B1221" s="147" t="s">
        <v>265</v>
      </c>
      <c r="C1221" s="148" t="s">
        <v>133</v>
      </c>
      <c r="D1221" s="147" t="s">
        <v>68</v>
      </c>
      <c r="E1221" s="147" t="s">
        <v>218</v>
      </c>
      <c r="F1221" s="149">
        <v>130.65358173487112</v>
      </c>
      <c r="G1221" s="148" t="s">
        <v>219</v>
      </c>
    </row>
    <row r="1222" spans="1:7">
      <c r="A1222" s="147">
        <v>2020</v>
      </c>
      <c r="B1222" s="147" t="s">
        <v>265</v>
      </c>
      <c r="C1222" s="148" t="s">
        <v>133</v>
      </c>
      <c r="D1222" s="147" t="s">
        <v>68</v>
      </c>
      <c r="E1222" s="147" t="s">
        <v>218</v>
      </c>
      <c r="F1222" s="149">
        <v>106.90077881123578</v>
      </c>
      <c r="G1222" s="148" t="s">
        <v>219</v>
      </c>
    </row>
    <row r="1223" spans="1:7">
      <c r="A1223" s="147">
        <v>2021</v>
      </c>
      <c r="B1223" s="147" t="s">
        <v>265</v>
      </c>
      <c r="C1223" s="148" t="s">
        <v>133</v>
      </c>
      <c r="D1223" s="147" t="s">
        <v>68</v>
      </c>
      <c r="E1223" s="147" t="s">
        <v>218</v>
      </c>
      <c r="F1223" s="149">
        <v>102.71327944799637</v>
      </c>
      <c r="G1223" s="148" t="s">
        <v>219</v>
      </c>
    </row>
    <row r="1224" spans="1:7">
      <c r="A1224" s="147">
        <v>2022</v>
      </c>
      <c r="B1224" s="147" t="s">
        <v>265</v>
      </c>
      <c r="C1224" s="148" t="s">
        <v>133</v>
      </c>
      <c r="D1224" s="147" t="s">
        <v>68</v>
      </c>
      <c r="E1224" s="147" t="s">
        <v>218</v>
      </c>
      <c r="F1224" s="149">
        <v>137.53087261997626</v>
      </c>
      <c r="G1224" s="148" t="s">
        <v>219</v>
      </c>
    </row>
    <row r="1225" spans="1:7">
      <c r="A1225" s="147" t="s">
        <v>185</v>
      </c>
      <c r="B1225" s="147" t="s">
        <v>265</v>
      </c>
      <c r="C1225" s="148" t="s">
        <v>133</v>
      </c>
      <c r="D1225" s="147" t="s">
        <v>68</v>
      </c>
      <c r="E1225" s="147" t="s">
        <v>218</v>
      </c>
      <c r="F1225" s="149">
        <v>148.50610835650056</v>
      </c>
      <c r="G1225" s="148" t="s">
        <v>219</v>
      </c>
    </row>
    <row r="1226" spans="1:7">
      <c r="A1226" s="147" t="s">
        <v>107</v>
      </c>
      <c r="B1226" s="147" t="s">
        <v>265</v>
      </c>
      <c r="C1226" s="148" t="s">
        <v>133</v>
      </c>
      <c r="D1226" s="147" t="s">
        <v>68</v>
      </c>
      <c r="E1226" s="147" t="s">
        <v>218</v>
      </c>
      <c r="F1226" s="149">
        <v>140.40493891903182</v>
      </c>
      <c r="G1226" s="148" t="s">
        <v>219</v>
      </c>
    </row>
    <row r="1227" spans="1:7">
      <c r="A1227" s="147">
        <v>2018</v>
      </c>
      <c r="B1227" s="147" t="s">
        <v>265</v>
      </c>
      <c r="C1227" s="148" t="s">
        <v>133</v>
      </c>
      <c r="D1227" s="147" t="s">
        <v>4</v>
      </c>
      <c r="E1227" s="147" t="s">
        <v>218</v>
      </c>
      <c r="F1227" s="149">
        <v>1430.9707769263537</v>
      </c>
      <c r="G1227" s="148" t="s">
        <v>219</v>
      </c>
    </row>
    <row r="1228" spans="1:7">
      <c r="A1228" s="147">
        <v>2019</v>
      </c>
      <c r="B1228" s="147" t="s">
        <v>265</v>
      </c>
      <c r="C1228" s="148" t="s">
        <v>133</v>
      </c>
      <c r="D1228" s="147" t="s">
        <v>4</v>
      </c>
      <c r="E1228" s="147" t="s">
        <v>218</v>
      </c>
      <c r="F1228" s="149">
        <v>1757.459172152586</v>
      </c>
      <c r="G1228" s="148" t="s">
        <v>219</v>
      </c>
    </row>
    <row r="1229" spans="1:7">
      <c r="A1229" s="147">
        <v>2020</v>
      </c>
      <c r="B1229" s="147" t="s">
        <v>265</v>
      </c>
      <c r="C1229" s="148" t="s">
        <v>133</v>
      </c>
      <c r="D1229" s="147" t="s">
        <v>4</v>
      </c>
      <c r="E1229" s="147" t="s">
        <v>218</v>
      </c>
      <c r="F1229" s="149">
        <v>1198.8650952359346</v>
      </c>
      <c r="G1229" s="148" t="s">
        <v>219</v>
      </c>
    </row>
    <row r="1230" spans="1:7">
      <c r="A1230" s="147">
        <v>2021</v>
      </c>
      <c r="B1230" s="147" t="s">
        <v>265</v>
      </c>
      <c r="C1230" s="148" t="s">
        <v>133</v>
      </c>
      <c r="D1230" s="147" t="s">
        <v>4</v>
      </c>
      <c r="E1230" s="147" t="s">
        <v>218</v>
      </c>
      <c r="F1230" s="149">
        <v>1353.9867766814859</v>
      </c>
      <c r="G1230" s="148" t="s">
        <v>219</v>
      </c>
    </row>
    <row r="1231" spans="1:7">
      <c r="A1231" s="147">
        <v>2022</v>
      </c>
      <c r="B1231" s="147" t="s">
        <v>265</v>
      </c>
      <c r="C1231" s="148" t="s">
        <v>133</v>
      </c>
      <c r="D1231" s="147" t="s">
        <v>4</v>
      </c>
      <c r="E1231" s="147" t="s">
        <v>218</v>
      </c>
      <c r="F1231" s="149">
        <v>1626.2027831200508</v>
      </c>
      <c r="G1231" s="148" t="s">
        <v>219</v>
      </c>
    </row>
    <row r="1232" spans="1:7">
      <c r="A1232" s="147" t="s">
        <v>185</v>
      </c>
      <c r="B1232" s="147" t="s">
        <v>265</v>
      </c>
      <c r="C1232" s="148" t="s">
        <v>133</v>
      </c>
      <c r="D1232" s="147" t="s">
        <v>4</v>
      </c>
      <c r="E1232" s="147" t="s">
        <v>218</v>
      </c>
      <c r="F1232" s="149">
        <v>2341.1899179522948</v>
      </c>
      <c r="G1232" s="148" t="s">
        <v>219</v>
      </c>
    </row>
    <row r="1233" spans="1:7">
      <c r="A1233" s="147" t="s">
        <v>107</v>
      </c>
      <c r="B1233" s="147" t="s">
        <v>265</v>
      </c>
      <c r="C1233" s="148" t="s">
        <v>133</v>
      </c>
      <c r="D1233" s="147" t="s">
        <v>4</v>
      </c>
      <c r="E1233" s="147" t="s">
        <v>218</v>
      </c>
      <c r="F1233" s="149">
        <v>4102.8311543450163</v>
      </c>
      <c r="G1233" s="148" t="s">
        <v>219</v>
      </c>
    </row>
    <row r="1234" spans="1:7">
      <c r="A1234" s="147">
        <v>2018</v>
      </c>
      <c r="B1234" s="147" t="s">
        <v>265</v>
      </c>
      <c r="C1234" s="148" t="s">
        <v>133</v>
      </c>
      <c r="D1234" s="147" t="s">
        <v>5</v>
      </c>
      <c r="E1234" s="147" t="s">
        <v>218</v>
      </c>
      <c r="F1234" s="149">
        <v>111.13465134043668</v>
      </c>
      <c r="G1234" s="148" t="s">
        <v>219</v>
      </c>
    </row>
    <row r="1235" spans="1:7">
      <c r="A1235" s="147">
        <v>2019</v>
      </c>
      <c r="B1235" s="147" t="s">
        <v>265</v>
      </c>
      <c r="C1235" s="148" t="s">
        <v>133</v>
      </c>
      <c r="D1235" s="147" t="s">
        <v>5</v>
      </c>
      <c r="E1235" s="147" t="s">
        <v>218</v>
      </c>
      <c r="F1235" s="149">
        <v>123.83139586979748</v>
      </c>
      <c r="G1235" s="148" t="s">
        <v>219</v>
      </c>
    </row>
    <row r="1236" spans="1:7">
      <c r="A1236" s="147">
        <v>2020</v>
      </c>
      <c r="B1236" s="147" t="s">
        <v>265</v>
      </c>
      <c r="C1236" s="148" t="s">
        <v>133</v>
      </c>
      <c r="D1236" s="147" t="s">
        <v>5</v>
      </c>
      <c r="E1236" s="147" t="s">
        <v>218</v>
      </c>
      <c r="F1236" s="149">
        <v>89.801450148903072</v>
      </c>
      <c r="G1236" s="148" t="s">
        <v>219</v>
      </c>
    </row>
    <row r="1237" spans="1:7">
      <c r="A1237" s="147">
        <v>2021</v>
      </c>
      <c r="B1237" s="147" t="s">
        <v>265</v>
      </c>
      <c r="C1237" s="148" t="s">
        <v>133</v>
      </c>
      <c r="D1237" s="147" t="s">
        <v>5</v>
      </c>
      <c r="E1237" s="147" t="s">
        <v>218</v>
      </c>
      <c r="F1237" s="149">
        <v>95.401342842069312</v>
      </c>
      <c r="G1237" s="148" t="s">
        <v>219</v>
      </c>
    </row>
    <row r="1238" spans="1:7">
      <c r="A1238" s="147">
        <v>2022</v>
      </c>
      <c r="B1238" s="147" t="s">
        <v>265</v>
      </c>
      <c r="C1238" s="148" t="s">
        <v>133</v>
      </c>
      <c r="D1238" s="147" t="s">
        <v>5</v>
      </c>
      <c r="E1238" s="147" t="s">
        <v>218</v>
      </c>
      <c r="F1238" s="149">
        <v>117.81174112105737</v>
      </c>
      <c r="G1238" s="148" t="s">
        <v>219</v>
      </c>
    </row>
    <row r="1239" spans="1:7">
      <c r="A1239" s="147" t="s">
        <v>185</v>
      </c>
      <c r="B1239" s="147" t="s">
        <v>265</v>
      </c>
      <c r="C1239" s="148" t="s">
        <v>133</v>
      </c>
      <c r="D1239" s="147" t="s">
        <v>5</v>
      </c>
      <c r="E1239" s="147" t="s">
        <v>218</v>
      </c>
      <c r="F1239" s="149">
        <v>114.84951244075684</v>
      </c>
      <c r="G1239" s="148" t="s">
        <v>219</v>
      </c>
    </row>
    <row r="1240" spans="1:7">
      <c r="A1240" s="147" t="s">
        <v>107</v>
      </c>
      <c r="B1240" s="147" t="s">
        <v>265</v>
      </c>
      <c r="C1240" s="148" t="s">
        <v>133</v>
      </c>
      <c r="D1240" s="147" t="s">
        <v>5</v>
      </c>
      <c r="E1240" s="147" t="s">
        <v>218</v>
      </c>
      <c r="F1240" s="149">
        <v>111.38112459323027</v>
      </c>
      <c r="G1240" s="148" t="s">
        <v>219</v>
      </c>
    </row>
    <row r="1241" spans="1:7">
      <c r="A1241" s="147">
        <v>2018</v>
      </c>
      <c r="B1241" s="147" t="s">
        <v>265</v>
      </c>
      <c r="C1241" s="148" t="s">
        <v>133</v>
      </c>
      <c r="D1241" s="147" t="s">
        <v>6</v>
      </c>
      <c r="E1241" s="147" t="s">
        <v>218</v>
      </c>
      <c r="F1241" s="149">
        <v>855.50004728429781</v>
      </c>
      <c r="G1241" s="148" t="s">
        <v>219</v>
      </c>
    </row>
    <row r="1242" spans="1:7">
      <c r="A1242" s="147">
        <v>2019</v>
      </c>
      <c r="B1242" s="147" t="s">
        <v>265</v>
      </c>
      <c r="C1242" s="148" t="s">
        <v>133</v>
      </c>
      <c r="D1242" s="147" t="s">
        <v>6</v>
      </c>
      <c r="E1242" s="147" t="s">
        <v>218</v>
      </c>
      <c r="F1242" s="149">
        <v>961.55341823229185</v>
      </c>
      <c r="G1242" s="148" t="s">
        <v>219</v>
      </c>
    </row>
    <row r="1243" spans="1:7">
      <c r="A1243" s="147">
        <v>2020</v>
      </c>
      <c r="B1243" s="147" t="s">
        <v>265</v>
      </c>
      <c r="C1243" s="148" t="s">
        <v>133</v>
      </c>
      <c r="D1243" s="147" t="s">
        <v>6</v>
      </c>
      <c r="E1243" s="147" t="s">
        <v>218</v>
      </c>
      <c r="F1243" s="149">
        <v>1066.8625023316686</v>
      </c>
      <c r="G1243" s="148" t="s">
        <v>219</v>
      </c>
    </row>
    <row r="1244" spans="1:7">
      <c r="A1244" s="147">
        <v>2021</v>
      </c>
      <c r="B1244" s="147" t="s">
        <v>265</v>
      </c>
      <c r="C1244" s="148" t="s">
        <v>133</v>
      </c>
      <c r="D1244" s="147" t="s">
        <v>6</v>
      </c>
      <c r="E1244" s="147" t="s">
        <v>218</v>
      </c>
      <c r="F1244" s="149">
        <v>1291.4611031795923</v>
      </c>
      <c r="G1244" s="148" t="s">
        <v>219</v>
      </c>
    </row>
    <row r="1245" spans="1:7">
      <c r="A1245" s="147">
        <v>2022</v>
      </c>
      <c r="B1245" s="147" t="s">
        <v>265</v>
      </c>
      <c r="C1245" s="148" t="s">
        <v>133</v>
      </c>
      <c r="D1245" s="147" t="s">
        <v>6</v>
      </c>
      <c r="E1245" s="147" t="s">
        <v>218</v>
      </c>
      <c r="F1245" s="149">
        <v>1403.9798788519533</v>
      </c>
      <c r="G1245" s="148" t="s">
        <v>219</v>
      </c>
    </row>
    <row r="1246" spans="1:7">
      <c r="A1246" s="147" t="s">
        <v>185</v>
      </c>
      <c r="B1246" s="147" t="s">
        <v>265</v>
      </c>
      <c r="C1246" s="148" t="s">
        <v>133</v>
      </c>
      <c r="D1246" s="147" t="s">
        <v>6</v>
      </c>
      <c r="E1246" s="147" t="s">
        <v>218</v>
      </c>
      <c r="F1246" s="149">
        <v>1484.8267607691021</v>
      </c>
      <c r="G1246" s="148" t="s">
        <v>219</v>
      </c>
    </row>
    <row r="1247" spans="1:7">
      <c r="A1247" s="147" t="s">
        <v>107</v>
      </c>
      <c r="B1247" s="147" t="s">
        <v>265</v>
      </c>
      <c r="C1247" s="148" t="s">
        <v>133</v>
      </c>
      <c r="D1247" s="147" t="s">
        <v>6</v>
      </c>
      <c r="E1247" s="147" t="s">
        <v>218</v>
      </c>
      <c r="F1247" s="149">
        <v>1390.2432299373759</v>
      </c>
      <c r="G1247" s="148" t="s">
        <v>219</v>
      </c>
    </row>
    <row r="1248" spans="1:7">
      <c r="A1248" s="147">
        <v>2018</v>
      </c>
      <c r="B1248" s="147" t="s">
        <v>265</v>
      </c>
      <c r="C1248" s="148" t="s">
        <v>133</v>
      </c>
      <c r="D1248" s="147" t="s">
        <v>7</v>
      </c>
      <c r="E1248" s="147" t="s">
        <v>218</v>
      </c>
      <c r="F1248" s="149">
        <v>61.755441408807634</v>
      </c>
      <c r="G1248" s="148" t="s">
        <v>219</v>
      </c>
    </row>
    <row r="1249" spans="1:7">
      <c r="A1249" s="147">
        <v>2019</v>
      </c>
      <c r="B1249" s="147" t="s">
        <v>265</v>
      </c>
      <c r="C1249" s="148" t="s">
        <v>133</v>
      </c>
      <c r="D1249" s="147" t="s">
        <v>7</v>
      </c>
      <c r="E1249" s="147" t="s">
        <v>218</v>
      </c>
      <c r="F1249" s="149">
        <v>60.09083451237013</v>
      </c>
      <c r="G1249" s="148" t="s">
        <v>219</v>
      </c>
    </row>
    <row r="1250" spans="1:7">
      <c r="A1250" s="147">
        <v>2020</v>
      </c>
      <c r="B1250" s="147" t="s">
        <v>265</v>
      </c>
      <c r="C1250" s="148" t="s">
        <v>133</v>
      </c>
      <c r="D1250" s="147" t="s">
        <v>7</v>
      </c>
      <c r="E1250" s="147" t="s">
        <v>218</v>
      </c>
      <c r="F1250" s="149">
        <v>24.174116117826628</v>
      </c>
      <c r="G1250" s="148" t="s">
        <v>219</v>
      </c>
    </row>
    <row r="1251" spans="1:7">
      <c r="A1251" s="147">
        <v>2021</v>
      </c>
      <c r="B1251" s="147" t="s">
        <v>265</v>
      </c>
      <c r="C1251" s="148" t="s">
        <v>133</v>
      </c>
      <c r="D1251" s="147" t="s">
        <v>7</v>
      </c>
      <c r="E1251" s="147" t="s">
        <v>218</v>
      </c>
      <c r="F1251" s="149">
        <v>26.531997178728901</v>
      </c>
      <c r="G1251" s="148" t="s">
        <v>219</v>
      </c>
    </row>
    <row r="1252" spans="1:7">
      <c r="A1252" s="147">
        <v>2022</v>
      </c>
      <c r="B1252" s="147" t="s">
        <v>265</v>
      </c>
      <c r="C1252" s="148" t="s">
        <v>133</v>
      </c>
      <c r="D1252" s="147" t="s">
        <v>7</v>
      </c>
      <c r="E1252" s="147" t="s">
        <v>218</v>
      </c>
      <c r="F1252" s="149">
        <v>36.577238689433756</v>
      </c>
      <c r="G1252" s="148" t="s">
        <v>219</v>
      </c>
    </row>
    <row r="1253" spans="1:7">
      <c r="A1253" s="147" t="s">
        <v>185</v>
      </c>
      <c r="B1253" s="147" t="s">
        <v>265</v>
      </c>
      <c r="C1253" s="148" t="s">
        <v>133</v>
      </c>
      <c r="D1253" s="147" t="s">
        <v>7</v>
      </c>
      <c r="E1253" s="147" t="s">
        <v>218</v>
      </c>
      <c r="F1253" s="149">
        <v>36.857557919370208</v>
      </c>
      <c r="G1253" s="148" t="s">
        <v>219</v>
      </c>
    </row>
    <row r="1254" spans="1:7">
      <c r="A1254" s="147" t="s">
        <v>107</v>
      </c>
      <c r="B1254" s="147" t="s">
        <v>265</v>
      </c>
      <c r="C1254" s="148" t="s">
        <v>133</v>
      </c>
      <c r="D1254" s="147" t="s">
        <v>7</v>
      </c>
      <c r="E1254" s="147" t="s">
        <v>218</v>
      </c>
      <c r="F1254" s="149">
        <v>38.108316981578788</v>
      </c>
      <c r="G1254" s="148" t="s">
        <v>219</v>
      </c>
    </row>
    <row r="1255" spans="1:7">
      <c r="A1255" s="147">
        <v>2018</v>
      </c>
      <c r="B1255" s="147" t="s">
        <v>265</v>
      </c>
      <c r="C1255" s="148" t="s">
        <v>133</v>
      </c>
      <c r="D1255" s="147" t="s">
        <v>8</v>
      </c>
      <c r="E1255" s="147" t="s">
        <v>218</v>
      </c>
      <c r="F1255" s="149">
        <v>224.94032585858301</v>
      </c>
      <c r="G1255" s="148" t="s">
        <v>219</v>
      </c>
    </row>
    <row r="1256" spans="1:7">
      <c r="A1256" s="147">
        <v>2019</v>
      </c>
      <c r="B1256" s="147" t="s">
        <v>265</v>
      </c>
      <c r="C1256" s="148" t="s">
        <v>133</v>
      </c>
      <c r="D1256" s="147" t="s">
        <v>8</v>
      </c>
      <c r="E1256" s="147" t="s">
        <v>218</v>
      </c>
      <c r="F1256" s="149">
        <v>226.33689597512742</v>
      </c>
      <c r="G1256" s="148" t="s">
        <v>219</v>
      </c>
    </row>
    <row r="1257" spans="1:7">
      <c r="A1257" s="147">
        <v>2020</v>
      </c>
      <c r="B1257" s="147" t="s">
        <v>265</v>
      </c>
      <c r="C1257" s="148" t="s">
        <v>133</v>
      </c>
      <c r="D1257" s="147" t="s">
        <v>8</v>
      </c>
      <c r="E1257" s="147" t="s">
        <v>218</v>
      </c>
      <c r="F1257" s="149">
        <v>229.50594125599565</v>
      </c>
      <c r="G1257" s="148" t="s">
        <v>219</v>
      </c>
    </row>
    <row r="1258" spans="1:7">
      <c r="A1258" s="147">
        <v>2021</v>
      </c>
      <c r="B1258" s="147" t="s">
        <v>265</v>
      </c>
      <c r="C1258" s="148" t="s">
        <v>133</v>
      </c>
      <c r="D1258" s="147" t="s">
        <v>8</v>
      </c>
      <c r="E1258" s="147" t="s">
        <v>218</v>
      </c>
      <c r="F1258" s="149">
        <v>243.8788720706967</v>
      </c>
      <c r="G1258" s="148" t="s">
        <v>219</v>
      </c>
    </row>
    <row r="1259" spans="1:7">
      <c r="A1259" s="147">
        <v>2022</v>
      </c>
      <c r="B1259" s="147" t="s">
        <v>265</v>
      </c>
      <c r="C1259" s="148" t="s">
        <v>133</v>
      </c>
      <c r="D1259" s="147" t="s">
        <v>8</v>
      </c>
      <c r="E1259" s="147" t="s">
        <v>218</v>
      </c>
      <c r="F1259" s="149">
        <v>248.1251352605203</v>
      </c>
      <c r="G1259" s="148" t="s">
        <v>219</v>
      </c>
    </row>
    <row r="1260" spans="1:7">
      <c r="A1260" s="147" t="s">
        <v>185</v>
      </c>
      <c r="B1260" s="147" t="s">
        <v>265</v>
      </c>
      <c r="C1260" s="148" t="s">
        <v>133</v>
      </c>
      <c r="D1260" s="147" t="s">
        <v>8</v>
      </c>
      <c r="E1260" s="147" t="s">
        <v>218</v>
      </c>
      <c r="F1260" s="149">
        <v>265.65173125436496</v>
      </c>
      <c r="G1260" s="148" t="s">
        <v>219</v>
      </c>
    </row>
    <row r="1261" spans="1:7">
      <c r="A1261" s="147" t="s">
        <v>107</v>
      </c>
      <c r="B1261" s="147" t="s">
        <v>265</v>
      </c>
      <c r="C1261" s="148" t="s">
        <v>133</v>
      </c>
      <c r="D1261" s="147" t="s">
        <v>8</v>
      </c>
      <c r="E1261" s="147" t="s">
        <v>218</v>
      </c>
      <c r="F1261" s="149">
        <v>286.79247820255381</v>
      </c>
      <c r="G1261" s="148" t="s">
        <v>219</v>
      </c>
    </row>
    <row r="1262" spans="1:7">
      <c r="A1262" s="147">
        <v>2018</v>
      </c>
      <c r="B1262" s="147" t="s">
        <v>265</v>
      </c>
      <c r="C1262" s="148" t="s">
        <v>133</v>
      </c>
      <c r="D1262" s="147" t="s">
        <v>9</v>
      </c>
      <c r="E1262" s="147" t="s">
        <v>218</v>
      </c>
      <c r="F1262" s="149">
        <v>65.155325613965573</v>
      </c>
      <c r="G1262" s="148" t="s">
        <v>219</v>
      </c>
    </row>
    <row r="1263" spans="1:7">
      <c r="A1263" s="147">
        <v>2019</v>
      </c>
      <c r="B1263" s="147" t="s">
        <v>265</v>
      </c>
      <c r="C1263" s="148" t="s">
        <v>133</v>
      </c>
      <c r="D1263" s="147" t="s">
        <v>9</v>
      </c>
      <c r="E1263" s="147" t="s">
        <v>218</v>
      </c>
      <c r="F1263" s="149">
        <v>66.664287800497291</v>
      </c>
      <c r="G1263" s="148" t="s">
        <v>219</v>
      </c>
    </row>
    <row r="1264" spans="1:7">
      <c r="A1264" s="147">
        <v>2020</v>
      </c>
      <c r="B1264" s="147" t="s">
        <v>265</v>
      </c>
      <c r="C1264" s="148" t="s">
        <v>133</v>
      </c>
      <c r="D1264" s="147" t="s">
        <v>9</v>
      </c>
      <c r="E1264" s="147" t="s">
        <v>218</v>
      </c>
      <c r="F1264" s="149">
        <v>64.175210592347611</v>
      </c>
      <c r="G1264" s="148" t="s">
        <v>219</v>
      </c>
    </row>
    <row r="1265" spans="1:7">
      <c r="A1265" s="147">
        <v>2021</v>
      </c>
      <c r="B1265" s="147" t="s">
        <v>265</v>
      </c>
      <c r="C1265" s="148" t="s">
        <v>133</v>
      </c>
      <c r="D1265" s="147" t="s">
        <v>9</v>
      </c>
      <c r="E1265" s="147" t="s">
        <v>218</v>
      </c>
      <c r="F1265" s="149">
        <v>70.662012318783709</v>
      </c>
      <c r="G1265" s="148" t="s">
        <v>219</v>
      </c>
    </row>
    <row r="1266" spans="1:7">
      <c r="A1266" s="147">
        <v>2022</v>
      </c>
      <c r="B1266" s="147" t="s">
        <v>265</v>
      </c>
      <c r="C1266" s="148" t="s">
        <v>133</v>
      </c>
      <c r="D1266" s="147" t="s">
        <v>9</v>
      </c>
      <c r="E1266" s="147" t="s">
        <v>218</v>
      </c>
      <c r="F1266" s="149">
        <v>76.091801117418271</v>
      </c>
      <c r="G1266" s="148" t="s">
        <v>219</v>
      </c>
    </row>
    <row r="1267" spans="1:7">
      <c r="A1267" s="147" t="s">
        <v>185</v>
      </c>
      <c r="B1267" s="147" t="s">
        <v>265</v>
      </c>
      <c r="C1267" s="148" t="s">
        <v>133</v>
      </c>
      <c r="D1267" s="147" t="s">
        <v>9</v>
      </c>
      <c r="E1267" s="147" t="s">
        <v>218</v>
      </c>
      <c r="F1267" s="149">
        <v>111.39540352195667</v>
      </c>
      <c r="G1267" s="148" t="s">
        <v>219</v>
      </c>
    </row>
    <row r="1268" spans="1:7">
      <c r="A1268" s="147" t="s">
        <v>107</v>
      </c>
      <c r="B1268" s="147" t="s">
        <v>265</v>
      </c>
      <c r="C1268" s="148" t="s">
        <v>133</v>
      </c>
      <c r="D1268" s="147" t="s">
        <v>9</v>
      </c>
      <c r="E1268" s="147" t="s">
        <v>218</v>
      </c>
      <c r="F1268" s="149">
        <v>125.83455167041853</v>
      </c>
      <c r="G1268" s="148" t="s">
        <v>219</v>
      </c>
    </row>
    <row r="1269" spans="1:7">
      <c r="A1269" s="147">
        <v>2018</v>
      </c>
      <c r="B1269" s="147" t="s">
        <v>265</v>
      </c>
      <c r="C1269" s="148" t="s">
        <v>133</v>
      </c>
      <c r="D1269" s="147" t="s">
        <v>70</v>
      </c>
      <c r="E1269" s="147" t="s">
        <v>218</v>
      </c>
      <c r="F1269" s="149">
        <v>968.36584112064145</v>
      </c>
      <c r="G1269" s="148" t="s">
        <v>219</v>
      </c>
    </row>
    <row r="1270" spans="1:7">
      <c r="A1270" s="147">
        <v>2019</v>
      </c>
      <c r="B1270" s="147" t="s">
        <v>265</v>
      </c>
      <c r="C1270" s="148" t="s">
        <v>133</v>
      </c>
      <c r="D1270" s="147" t="s">
        <v>70</v>
      </c>
      <c r="E1270" s="147" t="s">
        <v>218</v>
      </c>
      <c r="F1270" s="149">
        <v>1220.8533328079611</v>
      </c>
      <c r="G1270" s="148" t="s">
        <v>219</v>
      </c>
    </row>
    <row r="1271" spans="1:7">
      <c r="A1271" s="147">
        <v>2020</v>
      </c>
      <c r="B1271" s="147" t="s">
        <v>265</v>
      </c>
      <c r="C1271" s="148" t="s">
        <v>133</v>
      </c>
      <c r="D1271" s="147" t="s">
        <v>70</v>
      </c>
      <c r="E1271" s="147" t="s">
        <v>218</v>
      </c>
      <c r="F1271" s="149">
        <v>1019.991597928525</v>
      </c>
      <c r="G1271" s="148" t="s">
        <v>219</v>
      </c>
    </row>
    <row r="1272" spans="1:7">
      <c r="A1272" s="147">
        <v>2021</v>
      </c>
      <c r="B1272" s="147" t="s">
        <v>265</v>
      </c>
      <c r="C1272" s="148" t="s">
        <v>133</v>
      </c>
      <c r="D1272" s="147" t="s">
        <v>70</v>
      </c>
      <c r="E1272" s="147" t="s">
        <v>218</v>
      </c>
      <c r="F1272" s="149">
        <v>1172.456050608409</v>
      </c>
      <c r="G1272" s="148" t="s">
        <v>219</v>
      </c>
    </row>
    <row r="1273" spans="1:7">
      <c r="A1273" s="147">
        <v>2022</v>
      </c>
      <c r="B1273" s="147" t="s">
        <v>265</v>
      </c>
      <c r="C1273" s="148" t="s">
        <v>133</v>
      </c>
      <c r="D1273" s="147" t="s">
        <v>70</v>
      </c>
      <c r="E1273" s="147" t="s">
        <v>218</v>
      </c>
      <c r="F1273" s="149">
        <v>1201.08017911768</v>
      </c>
      <c r="G1273" s="148" t="s">
        <v>219</v>
      </c>
    </row>
    <row r="1274" spans="1:7">
      <c r="A1274" s="147" t="s">
        <v>185</v>
      </c>
      <c r="B1274" s="147" t="s">
        <v>265</v>
      </c>
      <c r="C1274" s="148" t="s">
        <v>133</v>
      </c>
      <c r="D1274" s="147" t="s">
        <v>70</v>
      </c>
      <c r="E1274" s="147" t="s">
        <v>218</v>
      </c>
      <c r="F1274" s="149">
        <v>1222.4006099759065</v>
      </c>
      <c r="G1274" s="148" t="s">
        <v>219</v>
      </c>
    </row>
    <row r="1275" spans="1:7">
      <c r="A1275" s="147" t="s">
        <v>107</v>
      </c>
      <c r="B1275" s="147" t="s">
        <v>265</v>
      </c>
      <c r="C1275" s="148" t="s">
        <v>133</v>
      </c>
      <c r="D1275" s="147" t="s">
        <v>70</v>
      </c>
      <c r="E1275" s="147" t="s">
        <v>218</v>
      </c>
      <c r="F1275" s="149">
        <v>1209.8690481395652</v>
      </c>
      <c r="G1275" s="148" t="s">
        <v>219</v>
      </c>
    </row>
    <row r="1276" spans="1:7">
      <c r="A1276" s="147">
        <v>2018</v>
      </c>
      <c r="B1276" s="147" t="s">
        <v>265</v>
      </c>
      <c r="C1276" s="148" t="s">
        <v>133</v>
      </c>
      <c r="D1276" s="147" t="s">
        <v>10</v>
      </c>
      <c r="E1276" s="147" t="s">
        <v>218</v>
      </c>
      <c r="F1276" s="149">
        <v>43.80080942019287</v>
      </c>
      <c r="G1276" s="148" t="s">
        <v>219</v>
      </c>
    </row>
    <row r="1277" spans="1:7">
      <c r="A1277" s="147">
        <v>2019</v>
      </c>
      <c r="B1277" s="147" t="s">
        <v>265</v>
      </c>
      <c r="C1277" s="148" t="s">
        <v>133</v>
      </c>
      <c r="D1277" s="147" t="s">
        <v>10</v>
      </c>
      <c r="E1277" s="147" t="s">
        <v>218</v>
      </c>
      <c r="F1277" s="149">
        <v>44.036910664624536</v>
      </c>
      <c r="G1277" s="148" t="s">
        <v>219</v>
      </c>
    </row>
    <row r="1278" spans="1:7">
      <c r="A1278" s="147">
        <v>2020</v>
      </c>
      <c r="B1278" s="147" t="s">
        <v>265</v>
      </c>
      <c r="C1278" s="148" t="s">
        <v>133</v>
      </c>
      <c r="D1278" s="147" t="s">
        <v>10</v>
      </c>
      <c r="E1278" s="147" t="s">
        <v>218</v>
      </c>
      <c r="F1278" s="149">
        <v>40.088808191439654</v>
      </c>
      <c r="G1278" s="148" t="s">
        <v>219</v>
      </c>
    </row>
    <row r="1279" spans="1:7">
      <c r="A1279" s="147">
        <v>2021</v>
      </c>
      <c r="B1279" s="147" t="s">
        <v>265</v>
      </c>
      <c r="C1279" s="148" t="s">
        <v>133</v>
      </c>
      <c r="D1279" s="147" t="s">
        <v>10</v>
      </c>
      <c r="E1279" s="147" t="s">
        <v>218</v>
      </c>
      <c r="F1279" s="149">
        <v>37.773261171311752</v>
      </c>
      <c r="G1279" s="148" t="s">
        <v>219</v>
      </c>
    </row>
    <row r="1280" spans="1:7">
      <c r="A1280" s="147">
        <v>2022</v>
      </c>
      <c r="B1280" s="147" t="s">
        <v>265</v>
      </c>
      <c r="C1280" s="148" t="s">
        <v>133</v>
      </c>
      <c r="D1280" s="147" t="s">
        <v>10</v>
      </c>
      <c r="E1280" s="147" t="s">
        <v>218</v>
      </c>
      <c r="F1280" s="149">
        <v>46.916485301026057</v>
      </c>
      <c r="G1280" s="148" t="s">
        <v>219</v>
      </c>
    </row>
    <row r="1281" spans="1:7">
      <c r="A1281" s="147" t="s">
        <v>185</v>
      </c>
      <c r="B1281" s="147" t="s">
        <v>265</v>
      </c>
      <c r="C1281" s="148" t="s">
        <v>133</v>
      </c>
      <c r="D1281" s="147" t="s">
        <v>10</v>
      </c>
      <c r="E1281" s="147" t="s">
        <v>218</v>
      </c>
      <c r="F1281" s="149">
        <v>53.268572435808863</v>
      </c>
      <c r="G1281" s="148" t="s">
        <v>219</v>
      </c>
    </row>
    <row r="1282" spans="1:7">
      <c r="A1282" s="147" t="s">
        <v>107</v>
      </c>
      <c r="B1282" s="147" t="s">
        <v>265</v>
      </c>
      <c r="C1282" s="148" t="s">
        <v>133</v>
      </c>
      <c r="D1282" s="147" t="s">
        <v>10</v>
      </c>
      <c r="E1282" s="147" t="s">
        <v>218</v>
      </c>
      <c r="F1282" s="149">
        <v>52.237717261518675</v>
      </c>
      <c r="G1282" s="148" t="s">
        <v>219</v>
      </c>
    </row>
    <row r="1283" spans="1:7">
      <c r="A1283" s="147">
        <v>2018</v>
      </c>
      <c r="B1283" s="147" t="s">
        <v>265</v>
      </c>
      <c r="C1283" s="148" t="s">
        <v>133</v>
      </c>
      <c r="D1283" s="147" t="s">
        <v>59</v>
      </c>
      <c r="E1283" s="147" t="s">
        <v>218</v>
      </c>
      <c r="F1283" s="149">
        <v>3.8008328638290796</v>
      </c>
      <c r="G1283" s="148" t="s">
        <v>219</v>
      </c>
    </row>
    <row r="1284" spans="1:7">
      <c r="A1284" s="147">
        <v>2019</v>
      </c>
      <c r="B1284" s="147" t="s">
        <v>265</v>
      </c>
      <c r="C1284" s="148" t="s">
        <v>133</v>
      </c>
      <c r="D1284" s="147" t="s">
        <v>59</v>
      </c>
      <c r="E1284" s="147" t="s">
        <v>218</v>
      </c>
      <c r="F1284" s="149">
        <v>4.5318954832548828</v>
      </c>
      <c r="G1284" s="148" t="s">
        <v>219</v>
      </c>
    </row>
    <row r="1285" spans="1:7">
      <c r="A1285" s="147">
        <v>2020</v>
      </c>
      <c r="B1285" s="147" t="s">
        <v>265</v>
      </c>
      <c r="C1285" s="148" t="s">
        <v>133</v>
      </c>
      <c r="D1285" s="147" t="s">
        <v>59</v>
      </c>
      <c r="E1285" s="147" t="s">
        <v>218</v>
      </c>
      <c r="F1285" s="149">
        <v>5.4175216739145871</v>
      </c>
      <c r="G1285" s="148" t="s">
        <v>219</v>
      </c>
    </row>
    <row r="1286" spans="1:7">
      <c r="A1286" s="147">
        <v>2021</v>
      </c>
      <c r="B1286" s="147" t="s">
        <v>265</v>
      </c>
      <c r="C1286" s="148" t="s">
        <v>133</v>
      </c>
      <c r="D1286" s="147" t="s">
        <v>59</v>
      </c>
      <c r="E1286" s="147" t="s">
        <v>218</v>
      </c>
      <c r="F1286" s="149">
        <v>8.0712334285754963</v>
      </c>
      <c r="G1286" s="148" t="s">
        <v>219</v>
      </c>
    </row>
    <row r="1287" spans="1:7">
      <c r="A1287" s="147">
        <v>2022</v>
      </c>
      <c r="B1287" s="147" t="s">
        <v>265</v>
      </c>
      <c r="C1287" s="148" t="s">
        <v>133</v>
      </c>
      <c r="D1287" s="147" t="s">
        <v>59</v>
      </c>
      <c r="E1287" s="147" t="s">
        <v>218</v>
      </c>
      <c r="F1287" s="149">
        <v>9.0685595590617734</v>
      </c>
      <c r="G1287" s="148" t="s">
        <v>219</v>
      </c>
    </row>
    <row r="1288" spans="1:7">
      <c r="A1288" s="147" t="s">
        <v>185</v>
      </c>
      <c r="B1288" s="147" t="s">
        <v>265</v>
      </c>
      <c r="C1288" s="148" t="s">
        <v>133</v>
      </c>
      <c r="D1288" s="147" t="s">
        <v>59</v>
      </c>
      <c r="E1288" s="147" t="s">
        <v>218</v>
      </c>
      <c r="F1288" s="149">
        <v>8.9928748318959428</v>
      </c>
      <c r="G1288" s="148" t="s">
        <v>219</v>
      </c>
    </row>
    <row r="1289" spans="1:7">
      <c r="A1289" s="147" t="s">
        <v>107</v>
      </c>
      <c r="B1289" s="147" t="s">
        <v>265</v>
      </c>
      <c r="C1289" s="148" t="s">
        <v>133</v>
      </c>
      <c r="D1289" s="147" t="s">
        <v>59</v>
      </c>
      <c r="E1289" s="147" t="s">
        <v>218</v>
      </c>
      <c r="F1289" s="149">
        <v>10.907482621662229</v>
      </c>
      <c r="G1289" s="148" t="s">
        <v>219</v>
      </c>
    </row>
    <row r="1290" spans="1:7">
      <c r="A1290" s="147">
        <v>2018</v>
      </c>
      <c r="B1290" s="147" t="s">
        <v>265</v>
      </c>
      <c r="C1290" s="148" t="s">
        <v>133</v>
      </c>
      <c r="D1290" s="147" t="s">
        <v>66</v>
      </c>
      <c r="E1290" s="147" t="s">
        <v>218</v>
      </c>
      <c r="F1290" s="149">
        <v>5.5187423253543555</v>
      </c>
      <c r="G1290" s="148" t="s">
        <v>219</v>
      </c>
    </row>
    <row r="1291" spans="1:7">
      <c r="A1291" s="147">
        <v>2019</v>
      </c>
      <c r="B1291" s="147" t="s">
        <v>265</v>
      </c>
      <c r="C1291" s="148" t="s">
        <v>133</v>
      </c>
      <c r="D1291" s="147" t="s">
        <v>66</v>
      </c>
      <c r="E1291" s="147" t="s">
        <v>218</v>
      </c>
      <c r="F1291" s="149">
        <v>5.041730220334113</v>
      </c>
      <c r="G1291" s="148" t="s">
        <v>219</v>
      </c>
    </row>
    <row r="1292" spans="1:7">
      <c r="A1292" s="147">
        <v>2020</v>
      </c>
      <c r="B1292" s="147" t="s">
        <v>265</v>
      </c>
      <c r="C1292" s="148" t="s">
        <v>133</v>
      </c>
      <c r="D1292" s="147" t="s">
        <v>66</v>
      </c>
      <c r="E1292" s="147" t="s">
        <v>218</v>
      </c>
      <c r="F1292" s="149">
        <v>1.5876875776915185</v>
      </c>
      <c r="G1292" s="148" t="s">
        <v>219</v>
      </c>
    </row>
    <row r="1293" spans="1:7">
      <c r="A1293" s="147">
        <v>2021</v>
      </c>
      <c r="B1293" s="147" t="s">
        <v>265</v>
      </c>
      <c r="C1293" s="148" t="s">
        <v>133</v>
      </c>
      <c r="D1293" s="147" t="s">
        <v>66</v>
      </c>
      <c r="E1293" s="147" t="s">
        <v>218</v>
      </c>
      <c r="F1293" s="149">
        <v>1.1362008282644029</v>
      </c>
      <c r="G1293" s="148" t="s">
        <v>219</v>
      </c>
    </row>
    <row r="1294" spans="1:7">
      <c r="A1294" s="147">
        <v>2022</v>
      </c>
      <c r="B1294" s="147" t="s">
        <v>265</v>
      </c>
      <c r="C1294" s="148" t="s">
        <v>133</v>
      </c>
      <c r="D1294" s="147" t="s">
        <v>66</v>
      </c>
      <c r="E1294" s="147" t="s">
        <v>218</v>
      </c>
      <c r="F1294" s="149">
        <v>1.3504605779575791</v>
      </c>
      <c r="G1294" s="148" t="s">
        <v>219</v>
      </c>
    </row>
    <row r="1295" spans="1:7">
      <c r="A1295" s="147" t="s">
        <v>185</v>
      </c>
      <c r="B1295" s="147" t="s">
        <v>265</v>
      </c>
      <c r="C1295" s="148" t="s">
        <v>133</v>
      </c>
      <c r="D1295" s="147" t="s">
        <v>66</v>
      </c>
      <c r="E1295" s="147" t="s">
        <v>218</v>
      </c>
      <c r="F1295" s="149">
        <v>1.1640798139621271</v>
      </c>
      <c r="G1295" s="148" t="s">
        <v>219</v>
      </c>
    </row>
    <row r="1296" spans="1:7">
      <c r="A1296" s="147" t="s">
        <v>107</v>
      </c>
      <c r="B1296" s="147" t="s">
        <v>265</v>
      </c>
      <c r="C1296" s="148" t="s">
        <v>133</v>
      </c>
      <c r="D1296" s="147" t="s">
        <v>66</v>
      </c>
      <c r="E1296" s="147" t="s">
        <v>218</v>
      </c>
      <c r="F1296" s="149">
        <v>1.4081985892825102</v>
      </c>
      <c r="G1296" s="148" t="s">
        <v>219</v>
      </c>
    </row>
    <row r="1297" spans="1:7">
      <c r="A1297" s="147">
        <v>2018</v>
      </c>
      <c r="B1297" s="147" t="s">
        <v>265</v>
      </c>
      <c r="C1297" s="148" t="s">
        <v>133</v>
      </c>
      <c r="D1297" s="147" t="s">
        <v>61</v>
      </c>
      <c r="E1297" s="147" t="s">
        <v>218</v>
      </c>
      <c r="F1297" s="149">
        <v>48.185431317017702</v>
      </c>
      <c r="G1297" s="148" t="s">
        <v>219</v>
      </c>
    </row>
    <row r="1298" spans="1:7">
      <c r="A1298" s="147">
        <v>2019</v>
      </c>
      <c r="B1298" s="147" t="s">
        <v>265</v>
      </c>
      <c r="C1298" s="148" t="s">
        <v>133</v>
      </c>
      <c r="D1298" s="147" t="s">
        <v>61</v>
      </c>
      <c r="E1298" s="147" t="s">
        <v>218</v>
      </c>
      <c r="F1298" s="149">
        <v>72.873416079723313</v>
      </c>
      <c r="G1298" s="148" t="s">
        <v>219</v>
      </c>
    </row>
    <row r="1299" spans="1:7">
      <c r="A1299" s="147">
        <v>2020</v>
      </c>
      <c r="B1299" s="147" t="s">
        <v>265</v>
      </c>
      <c r="C1299" s="148" t="s">
        <v>133</v>
      </c>
      <c r="D1299" s="147" t="s">
        <v>61</v>
      </c>
      <c r="E1299" s="147" t="s">
        <v>218</v>
      </c>
      <c r="F1299" s="149">
        <v>58.556176848575724</v>
      </c>
      <c r="G1299" s="148" t="s">
        <v>219</v>
      </c>
    </row>
    <row r="1300" spans="1:7">
      <c r="A1300" s="147">
        <v>2021</v>
      </c>
      <c r="B1300" s="147" t="s">
        <v>265</v>
      </c>
      <c r="C1300" s="148" t="s">
        <v>133</v>
      </c>
      <c r="D1300" s="147" t="s">
        <v>61</v>
      </c>
      <c r="E1300" s="147" t="s">
        <v>218</v>
      </c>
      <c r="F1300" s="149">
        <v>49.006984494792675</v>
      </c>
      <c r="G1300" s="148" t="s">
        <v>219</v>
      </c>
    </row>
    <row r="1301" spans="1:7">
      <c r="A1301" s="147">
        <v>2022</v>
      </c>
      <c r="B1301" s="147" t="s">
        <v>265</v>
      </c>
      <c r="C1301" s="148" t="s">
        <v>133</v>
      </c>
      <c r="D1301" s="147" t="s">
        <v>61</v>
      </c>
      <c r="E1301" s="147" t="s">
        <v>218</v>
      </c>
      <c r="F1301" s="149">
        <v>61.411580221673852</v>
      </c>
      <c r="G1301" s="148" t="s">
        <v>219</v>
      </c>
    </row>
    <row r="1302" spans="1:7">
      <c r="A1302" s="147" t="s">
        <v>185</v>
      </c>
      <c r="B1302" s="147" t="s">
        <v>265</v>
      </c>
      <c r="C1302" s="148" t="s">
        <v>133</v>
      </c>
      <c r="D1302" s="147" t="s">
        <v>61</v>
      </c>
      <c r="E1302" s="147" t="s">
        <v>218</v>
      </c>
      <c r="F1302" s="149">
        <v>62.327055127101474</v>
      </c>
      <c r="G1302" s="148" t="s">
        <v>219</v>
      </c>
    </row>
    <row r="1303" spans="1:7">
      <c r="A1303" s="147" t="s">
        <v>107</v>
      </c>
      <c r="B1303" s="147" t="s">
        <v>265</v>
      </c>
      <c r="C1303" s="148" t="s">
        <v>133</v>
      </c>
      <c r="D1303" s="147" t="s">
        <v>61</v>
      </c>
      <c r="E1303" s="147" t="s">
        <v>218</v>
      </c>
      <c r="F1303" s="149">
        <v>61.805022157069942</v>
      </c>
      <c r="G1303" s="148" t="s">
        <v>219</v>
      </c>
    </row>
    <row r="1304" spans="1:7">
      <c r="A1304" s="147">
        <v>2018</v>
      </c>
      <c r="B1304" s="147" t="s">
        <v>266</v>
      </c>
      <c r="C1304" s="148" t="s">
        <v>133</v>
      </c>
      <c r="D1304" s="147" t="s">
        <v>221</v>
      </c>
      <c r="E1304" s="147" t="s">
        <v>218</v>
      </c>
      <c r="F1304" s="149">
        <v>938.60041515875309</v>
      </c>
      <c r="G1304" s="148" t="s">
        <v>219</v>
      </c>
    </row>
    <row r="1305" spans="1:7">
      <c r="A1305" s="147">
        <v>2019</v>
      </c>
      <c r="B1305" s="147" t="s">
        <v>266</v>
      </c>
      <c r="C1305" s="148" t="s">
        <v>133</v>
      </c>
      <c r="D1305" s="147" t="s">
        <v>221</v>
      </c>
      <c r="E1305" s="147" t="s">
        <v>218</v>
      </c>
      <c r="F1305" s="149">
        <v>1005.6665967878395</v>
      </c>
      <c r="G1305" s="148" t="s">
        <v>219</v>
      </c>
    </row>
    <row r="1306" spans="1:7">
      <c r="A1306" s="147">
        <v>2020</v>
      </c>
      <c r="B1306" s="147" t="s">
        <v>266</v>
      </c>
      <c r="C1306" s="148" t="s">
        <v>133</v>
      </c>
      <c r="D1306" s="147" t="s">
        <v>221</v>
      </c>
      <c r="E1306" s="147" t="s">
        <v>218</v>
      </c>
      <c r="F1306" s="149">
        <v>1107.234426849086</v>
      </c>
      <c r="G1306" s="148" t="s">
        <v>219</v>
      </c>
    </row>
    <row r="1307" spans="1:7">
      <c r="A1307" s="147">
        <v>2021</v>
      </c>
      <c r="B1307" s="147" t="s">
        <v>266</v>
      </c>
      <c r="C1307" s="148" t="s">
        <v>133</v>
      </c>
      <c r="D1307" s="147" t="s">
        <v>221</v>
      </c>
      <c r="E1307" s="147" t="s">
        <v>218</v>
      </c>
      <c r="F1307" s="149">
        <v>1164.6576076150011</v>
      </c>
      <c r="G1307" s="148" t="s">
        <v>219</v>
      </c>
    </row>
    <row r="1308" spans="1:7">
      <c r="A1308" s="147">
        <v>2022</v>
      </c>
      <c r="B1308" s="147" t="s">
        <v>266</v>
      </c>
      <c r="C1308" s="148" t="s">
        <v>133</v>
      </c>
      <c r="D1308" s="147" t="s">
        <v>221</v>
      </c>
      <c r="E1308" s="147" t="s">
        <v>218</v>
      </c>
      <c r="F1308" s="149">
        <v>1280.4870807413654</v>
      </c>
      <c r="G1308" s="148" t="s">
        <v>219</v>
      </c>
    </row>
    <row r="1309" spans="1:7">
      <c r="A1309" s="147" t="s">
        <v>185</v>
      </c>
      <c r="B1309" s="147" t="s">
        <v>266</v>
      </c>
      <c r="C1309" s="148" t="s">
        <v>133</v>
      </c>
      <c r="D1309" s="147" t="s">
        <v>221</v>
      </c>
      <c r="E1309" s="147" t="s">
        <v>218</v>
      </c>
      <c r="F1309" s="149">
        <v>1344.2107148170282</v>
      </c>
      <c r="G1309" s="148" t="s">
        <v>219</v>
      </c>
    </row>
    <row r="1310" spans="1:7">
      <c r="A1310" s="147" t="s">
        <v>107</v>
      </c>
      <c r="B1310" s="147" t="s">
        <v>266</v>
      </c>
      <c r="C1310" s="148" t="s">
        <v>133</v>
      </c>
      <c r="D1310" s="147" t="s">
        <v>221</v>
      </c>
      <c r="E1310" s="147" t="s">
        <v>218</v>
      </c>
      <c r="F1310" s="149">
        <v>1396.692827440228</v>
      </c>
      <c r="G1310" s="148" t="s">
        <v>219</v>
      </c>
    </row>
    <row r="1311" spans="1:7">
      <c r="A1311" s="147">
        <v>2018</v>
      </c>
      <c r="B1311" s="147" t="s">
        <v>267</v>
      </c>
      <c r="C1311" s="148" t="s">
        <v>133</v>
      </c>
      <c r="D1311" s="147" t="s">
        <v>148</v>
      </c>
      <c r="E1311" s="147" t="s">
        <v>218</v>
      </c>
      <c r="F1311" s="149">
        <v>5832.2059699454549</v>
      </c>
      <c r="G1311" s="148" t="s">
        <v>219</v>
      </c>
    </row>
    <row r="1312" spans="1:7">
      <c r="A1312" s="147">
        <v>2019</v>
      </c>
      <c r="B1312" s="147" t="s">
        <v>267</v>
      </c>
      <c r="C1312" s="148" t="s">
        <v>133</v>
      </c>
      <c r="D1312" s="147" t="s">
        <v>148</v>
      </c>
      <c r="E1312" s="147" t="s">
        <v>218</v>
      </c>
      <c r="F1312" s="149">
        <v>6719.3952237335934</v>
      </c>
      <c r="G1312" s="148" t="s">
        <v>219</v>
      </c>
    </row>
    <row r="1313" spans="1:7">
      <c r="A1313" s="147">
        <v>2020</v>
      </c>
      <c r="B1313" s="147" t="s">
        <v>267</v>
      </c>
      <c r="C1313" s="148" t="s">
        <v>133</v>
      </c>
      <c r="D1313" s="147" t="s">
        <v>148</v>
      </c>
      <c r="E1313" s="147" t="s">
        <v>218</v>
      </c>
      <c r="F1313" s="149">
        <v>5843.1827348080078</v>
      </c>
      <c r="G1313" s="148" t="s">
        <v>219</v>
      </c>
    </row>
    <row r="1314" spans="1:7">
      <c r="A1314" s="147">
        <v>2021</v>
      </c>
      <c r="B1314" s="147" t="s">
        <v>267</v>
      </c>
      <c r="C1314" s="148" t="s">
        <v>133</v>
      </c>
      <c r="D1314" s="147" t="s">
        <v>148</v>
      </c>
      <c r="E1314" s="147" t="s">
        <v>218</v>
      </c>
      <c r="F1314" s="149">
        <v>6561.7035704097998</v>
      </c>
      <c r="G1314" s="148" t="s">
        <v>219</v>
      </c>
    </row>
    <row r="1315" spans="1:7">
      <c r="A1315" s="147">
        <v>2022</v>
      </c>
      <c r="B1315" s="147" t="s">
        <v>267</v>
      </c>
      <c r="C1315" s="148" t="s">
        <v>133</v>
      </c>
      <c r="D1315" s="147" t="s">
        <v>148</v>
      </c>
      <c r="E1315" s="147" t="s">
        <v>218</v>
      </c>
      <c r="F1315" s="149">
        <v>7255.1416241872494</v>
      </c>
      <c r="G1315" s="148" t="s">
        <v>219</v>
      </c>
    </row>
    <row r="1316" spans="1:7">
      <c r="A1316" s="147" t="s">
        <v>185</v>
      </c>
      <c r="B1316" s="147" t="s">
        <v>267</v>
      </c>
      <c r="C1316" s="148" t="s">
        <v>133</v>
      </c>
      <c r="D1316" s="147" t="s">
        <v>148</v>
      </c>
      <c r="E1316" s="147" t="s">
        <v>218</v>
      </c>
      <c r="F1316" s="149">
        <v>8328.8409183530948</v>
      </c>
      <c r="G1316" s="148" t="s">
        <v>219</v>
      </c>
    </row>
    <row r="1317" spans="1:7">
      <c r="A1317" s="147" t="s">
        <v>107</v>
      </c>
      <c r="B1317" s="147" t="s">
        <v>267</v>
      </c>
      <c r="C1317" s="148" t="s">
        <v>133</v>
      </c>
      <c r="D1317" s="147" t="s">
        <v>148</v>
      </c>
      <c r="E1317" s="147" t="s">
        <v>218</v>
      </c>
      <c r="F1317" s="149">
        <v>10329.655489358283</v>
      </c>
      <c r="G1317" s="148" t="s">
        <v>219</v>
      </c>
    </row>
    <row r="1318" spans="1:7">
      <c r="A1318" s="147">
        <v>2018</v>
      </c>
      <c r="B1318" s="147" t="s">
        <v>268</v>
      </c>
      <c r="C1318" s="148" t="s">
        <v>133</v>
      </c>
      <c r="D1318" s="147" t="s">
        <v>149</v>
      </c>
      <c r="E1318" s="147" t="s">
        <v>218</v>
      </c>
      <c r="F1318" s="149">
        <v>307.5787257635676</v>
      </c>
      <c r="G1318" s="148" t="s">
        <v>219</v>
      </c>
    </row>
    <row r="1319" spans="1:7">
      <c r="A1319" s="147">
        <v>2019</v>
      </c>
      <c r="B1319" s="147" t="s">
        <v>268</v>
      </c>
      <c r="C1319" s="148" t="s">
        <v>133</v>
      </c>
      <c r="D1319" s="147" t="s">
        <v>149</v>
      </c>
      <c r="E1319" s="147" t="s">
        <v>218</v>
      </c>
      <c r="F1319" s="149">
        <v>314.02913983416892</v>
      </c>
      <c r="G1319" s="148" t="s">
        <v>219</v>
      </c>
    </row>
    <row r="1320" spans="1:7">
      <c r="A1320" s="147">
        <v>2020</v>
      </c>
      <c r="B1320" s="147" t="s">
        <v>268</v>
      </c>
      <c r="C1320" s="148" t="s">
        <v>133</v>
      </c>
      <c r="D1320" s="147" t="s">
        <v>149</v>
      </c>
      <c r="E1320" s="147" t="s">
        <v>218</v>
      </c>
      <c r="F1320" s="149">
        <v>207.5238069308443</v>
      </c>
      <c r="G1320" s="148" t="s">
        <v>219</v>
      </c>
    </row>
    <row r="1321" spans="1:7">
      <c r="A1321" s="147">
        <v>2021</v>
      </c>
      <c r="B1321" s="147" t="s">
        <v>268</v>
      </c>
      <c r="C1321" s="148" t="s">
        <v>133</v>
      </c>
      <c r="D1321" s="147" t="s">
        <v>149</v>
      </c>
      <c r="E1321" s="147" t="s">
        <v>218</v>
      </c>
      <c r="F1321" s="149">
        <v>249.28979809372098</v>
      </c>
      <c r="G1321" s="148" t="s">
        <v>219</v>
      </c>
    </row>
    <row r="1322" spans="1:7">
      <c r="A1322" s="147">
        <v>2022</v>
      </c>
      <c r="B1322" s="147" t="s">
        <v>268</v>
      </c>
      <c r="C1322" s="148" t="s">
        <v>133</v>
      </c>
      <c r="D1322" s="147" t="s">
        <v>149</v>
      </c>
      <c r="E1322" s="147" t="s">
        <v>218</v>
      </c>
      <c r="F1322" s="149">
        <v>294.13254404309146</v>
      </c>
      <c r="G1322" s="148" t="s">
        <v>219</v>
      </c>
    </row>
    <row r="1323" spans="1:7">
      <c r="A1323" s="147" t="s">
        <v>185</v>
      </c>
      <c r="B1323" s="147" t="s">
        <v>268</v>
      </c>
      <c r="C1323" s="148" t="s">
        <v>133</v>
      </c>
      <c r="D1323" s="147" t="s">
        <v>149</v>
      </c>
      <c r="E1323" s="147" t="s">
        <v>218</v>
      </c>
      <c r="F1323" s="149">
        <v>318.20330526086258</v>
      </c>
      <c r="G1323" s="148" t="s">
        <v>219</v>
      </c>
    </row>
    <row r="1324" spans="1:7">
      <c r="A1324" s="147" t="s">
        <v>107</v>
      </c>
      <c r="B1324" s="147" t="s">
        <v>268</v>
      </c>
      <c r="C1324" s="148" t="s">
        <v>133</v>
      </c>
      <c r="D1324" s="147" t="s">
        <v>149</v>
      </c>
      <c r="E1324" s="147" t="s">
        <v>218</v>
      </c>
      <c r="F1324" s="149">
        <v>349.61807322508037</v>
      </c>
      <c r="G1324" s="148" t="s">
        <v>219</v>
      </c>
    </row>
    <row r="1325" spans="1:7">
      <c r="A1325" s="147">
        <v>2018</v>
      </c>
      <c r="B1325" s="147" t="s">
        <v>269</v>
      </c>
      <c r="C1325" s="148" t="s">
        <v>133</v>
      </c>
      <c r="D1325" s="147" t="s">
        <v>136</v>
      </c>
      <c r="E1325" s="147" t="s">
        <v>218</v>
      </c>
      <c r="F1325" s="149">
        <v>6139.7846957090223</v>
      </c>
      <c r="G1325" s="148" t="s">
        <v>219</v>
      </c>
    </row>
    <row r="1326" spans="1:7">
      <c r="A1326" s="147">
        <v>2019</v>
      </c>
      <c r="B1326" s="147" t="s">
        <v>269</v>
      </c>
      <c r="C1326" s="148" t="s">
        <v>133</v>
      </c>
      <c r="D1326" s="147" t="s">
        <v>136</v>
      </c>
      <c r="E1326" s="147" t="s">
        <v>218</v>
      </c>
      <c r="F1326" s="149">
        <v>7033.424363567764</v>
      </c>
      <c r="G1326" s="148" t="s">
        <v>219</v>
      </c>
    </row>
    <row r="1327" spans="1:7">
      <c r="A1327" s="147">
        <v>2020</v>
      </c>
      <c r="B1327" s="147" t="s">
        <v>269</v>
      </c>
      <c r="C1327" s="148" t="s">
        <v>133</v>
      </c>
      <c r="D1327" s="147" t="s">
        <v>136</v>
      </c>
      <c r="E1327" s="147" t="s">
        <v>218</v>
      </c>
      <c r="F1327" s="149">
        <v>6053.690921184234</v>
      </c>
      <c r="G1327" s="148" t="s">
        <v>219</v>
      </c>
    </row>
    <row r="1328" spans="1:7">
      <c r="A1328" s="147">
        <v>2021</v>
      </c>
      <c r="B1328" s="147" t="s">
        <v>269</v>
      </c>
      <c r="C1328" s="148" t="s">
        <v>133</v>
      </c>
      <c r="D1328" s="147" t="s">
        <v>136</v>
      </c>
      <c r="E1328" s="147" t="s">
        <v>218</v>
      </c>
      <c r="F1328" s="149">
        <v>6813.5673938295749</v>
      </c>
      <c r="G1328" s="148" t="s">
        <v>219</v>
      </c>
    </row>
    <row r="1329" spans="1:7">
      <c r="A1329" s="147">
        <v>2022</v>
      </c>
      <c r="B1329" s="147" t="s">
        <v>269</v>
      </c>
      <c r="C1329" s="148" t="s">
        <v>133</v>
      </c>
      <c r="D1329" s="147" t="s">
        <v>136</v>
      </c>
      <c r="E1329" s="147" t="s">
        <v>218</v>
      </c>
      <c r="F1329" s="149">
        <v>7551.4637552564955</v>
      </c>
      <c r="G1329" s="148" t="s">
        <v>219</v>
      </c>
    </row>
    <row r="1330" spans="1:7">
      <c r="A1330" s="147" t="s">
        <v>185</v>
      </c>
      <c r="B1330" s="147" t="s">
        <v>269</v>
      </c>
      <c r="C1330" s="148" t="s">
        <v>133</v>
      </c>
      <c r="D1330" s="147" t="s">
        <v>136</v>
      </c>
      <c r="E1330" s="147" t="s">
        <v>218</v>
      </c>
      <c r="F1330" s="149">
        <v>8649.6593922623488</v>
      </c>
      <c r="G1330" s="148" t="s">
        <v>219</v>
      </c>
    </row>
    <row r="1331" spans="1:7">
      <c r="A1331" s="147" t="s">
        <v>107</v>
      </c>
      <c r="B1331" s="147" t="s">
        <v>269</v>
      </c>
      <c r="C1331" s="148" t="s">
        <v>133</v>
      </c>
      <c r="D1331" s="147" t="s">
        <v>136</v>
      </c>
      <c r="E1331" s="147" t="s">
        <v>218</v>
      </c>
      <c r="F1331" s="149">
        <v>10686.52401872818</v>
      </c>
      <c r="G1331" s="148" t="s">
        <v>219</v>
      </c>
    </row>
    <row r="1332" spans="1:7">
      <c r="A1332" s="147">
        <v>2018</v>
      </c>
      <c r="B1332" s="147" t="s">
        <v>270</v>
      </c>
      <c r="C1332" s="148" t="s">
        <v>133</v>
      </c>
      <c r="D1332" s="147" t="s">
        <v>224</v>
      </c>
      <c r="E1332" s="147" t="s">
        <v>218</v>
      </c>
      <c r="F1332" s="149">
        <v>868.09565494895742</v>
      </c>
      <c r="G1332" s="148" t="s">
        <v>271</v>
      </c>
    </row>
    <row r="1333" spans="1:7">
      <c r="A1333" s="147">
        <v>2019</v>
      </c>
      <c r="B1333" s="147" t="s">
        <v>270</v>
      </c>
      <c r="C1333" s="148" t="s">
        <v>133</v>
      </c>
      <c r="D1333" s="147" t="s">
        <v>224</v>
      </c>
      <c r="E1333" s="147" t="s">
        <v>218</v>
      </c>
      <c r="F1333" s="149">
        <v>833.7662457393958</v>
      </c>
      <c r="G1333" s="148" t="s">
        <v>271</v>
      </c>
    </row>
    <row r="1334" spans="1:7">
      <c r="A1334" s="147">
        <v>2020</v>
      </c>
      <c r="B1334" s="147" t="s">
        <v>270</v>
      </c>
      <c r="C1334" s="148" t="s">
        <v>133</v>
      </c>
      <c r="D1334" s="147" t="s">
        <v>224</v>
      </c>
      <c r="E1334" s="147" t="s">
        <v>218</v>
      </c>
      <c r="F1334" s="149">
        <v>890.70816909266091</v>
      </c>
      <c r="G1334" s="148" t="s">
        <v>271</v>
      </c>
    </row>
    <row r="1335" spans="1:7">
      <c r="A1335" s="147">
        <v>2021</v>
      </c>
      <c r="B1335" s="147" t="s">
        <v>270</v>
      </c>
      <c r="C1335" s="148" t="s">
        <v>133</v>
      </c>
      <c r="D1335" s="147" t="s">
        <v>224</v>
      </c>
      <c r="E1335" s="147" t="s">
        <v>218</v>
      </c>
      <c r="F1335" s="149">
        <v>1030.2299016683589</v>
      </c>
      <c r="G1335" s="148" t="s">
        <v>271</v>
      </c>
    </row>
    <row r="1336" spans="1:7">
      <c r="A1336" s="147">
        <v>2022</v>
      </c>
      <c r="B1336" s="147" t="s">
        <v>270</v>
      </c>
      <c r="C1336" s="148" t="s">
        <v>133</v>
      </c>
      <c r="D1336" s="147" t="s">
        <v>224</v>
      </c>
      <c r="E1336" s="147" t="s">
        <v>218</v>
      </c>
      <c r="F1336" s="149">
        <v>1087.3920959966417</v>
      </c>
      <c r="G1336" s="148" t="s">
        <v>271</v>
      </c>
    </row>
    <row r="1337" spans="1:7">
      <c r="A1337" s="147" t="s">
        <v>185</v>
      </c>
      <c r="B1337" s="147" t="s">
        <v>270</v>
      </c>
      <c r="C1337" s="148" t="s">
        <v>133</v>
      </c>
      <c r="D1337" s="147" t="s">
        <v>224</v>
      </c>
      <c r="E1337" s="147" t="s">
        <v>218</v>
      </c>
      <c r="F1337" s="149">
        <v>1135.3500702416991</v>
      </c>
      <c r="G1337" s="148" t="s">
        <v>271</v>
      </c>
    </row>
    <row r="1338" spans="1:7">
      <c r="A1338" s="147" t="s">
        <v>107</v>
      </c>
      <c r="B1338" s="147" t="s">
        <v>270</v>
      </c>
      <c r="C1338" s="148" t="s">
        <v>133</v>
      </c>
      <c r="D1338" s="147" t="s">
        <v>224</v>
      </c>
      <c r="E1338" s="147" t="s">
        <v>218</v>
      </c>
      <c r="F1338" s="149">
        <v>1209.5323587536807</v>
      </c>
      <c r="G1338" s="148" t="s">
        <v>271</v>
      </c>
    </row>
    <row r="1339" spans="1:7">
      <c r="A1339" s="147">
        <v>2018</v>
      </c>
      <c r="B1339" s="147" t="s">
        <v>270</v>
      </c>
      <c r="C1339" s="148" t="s">
        <v>133</v>
      </c>
      <c r="D1339" s="147" t="s">
        <v>229</v>
      </c>
      <c r="E1339" s="147" t="s">
        <v>218</v>
      </c>
      <c r="F1339" s="149">
        <v>2195.2548687183262</v>
      </c>
      <c r="G1339" s="148" t="s">
        <v>271</v>
      </c>
    </row>
    <row r="1340" spans="1:7">
      <c r="A1340" s="147">
        <v>2019</v>
      </c>
      <c r="B1340" s="147" t="s">
        <v>270</v>
      </c>
      <c r="C1340" s="148" t="s">
        <v>133</v>
      </c>
      <c r="D1340" s="147" t="s">
        <v>229</v>
      </c>
      <c r="E1340" s="147" t="s">
        <v>218</v>
      </c>
      <c r="F1340" s="149">
        <v>2151.3649079772126</v>
      </c>
      <c r="G1340" s="148" t="s">
        <v>271</v>
      </c>
    </row>
    <row r="1341" spans="1:7">
      <c r="A1341" s="147">
        <v>2020</v>
      </c>
      <c r="B1341" s="147" t="s">
        <v>270</v>
      </c>
      <c r="C1341" s="148" t="s">
        <v>133</v>
      </c>
      <c r="D1341" s="147" t="s">
        <v>229</v>
      </c>
      <c r="E1341" s="147" t="s">
        <v>218</v>
      </c>
      <c r="F1341" s="149">
        <v>1710.8020205106729</v>
      </c>
      <c r="G1341" s="148" t="s">
        <v>271</v>
      </c>
    </row>
    <row r="1342" spans="1:7">
      <c r="A1342" s="147">
        <v>2021</v>
      </c>
      <c r="B1342" s="147" t="s">
        <v>270</v>
      </c>
      <c r="C1342" s="148" t="s">
        <v>133</v>
      </c>
      <c r="D1342" s="147" t="s">
        <v>229</v>
      </c>
      <c r="E1342" s="147" t="s">
        <v>218</v>
      </c>
      <c r="F1342" s="149">
        <v>2176.7693904710145</v>
      </c>
      <c r="G1342" s="148" t="s">
        <v>271</v>
      </c>
    </row>
    <row r="1343" spans="1:7">
      <c r="A1343" s="147">
        <v>2022</v>
      </c>
      <c r="B1343" s="147" t="s">
        <v>270</v>
      </c>
      <c r="C1343" s="148" t="s">
        <v>133</v>
      </c>
      <c r="D1343" s="147" t="s">
        <v>229</v>
      </c>
      <c r="E1343" s="147" t="s">
        <v>218</v>
      </c>
      <c r="F1343" s="149">
        <v>2327.49033729541</v>
      </c>
      <c r="G1343" s="148" t="s">
        <v>271</v>
      </c>
    </row>
    <row r="1344" spans="1:7">
      <c r="A1344" s="147" t="s">
        <v>185</v>
      </c>
      <c r="B1344" s="147" t="s">
        <v>270</v>
      </c>
      <c r="C1344" s="148" t="s">
        <v>133</v>
      </c>
      <c r="D1344" s="147" t="s">
        <v>229</v>
      </c>
      <c r="E1344" s="147" t="s">
        <v>218</v>
      </c>
      <c r="F1344" s="149">
        <v>2408.2015239262068</v>
      </c>
      <c r="G1344" s="148" t="s">
        <v>271</v>
      </c>
    </row>
    <row r="1345" spans="1:7">
      <c r="A1345" s="147" t="s">
        <v>107</v>
      </c>
      <c r="B1345" s="147" t="s">
        <v>270</v>
      </c>
      <c r="C1345" s="148" t="s">
        <v>133</v>
      </c>
      <c r="D1345" s="147" t="s">
        <v>229</v>
      </c>
      <c r="E1345" s="147" t="s">
        <v>218</v>
      </c>
      <c r="F1345" s="149">
        <v>2584.7535370949545</v>
      </c>
      <c r="G1345" s="148" t="s">
        <v>271</v>
      </c>
    </row>
    <row r="1346" spans="1:7">
      <c r="A1346" s="147">
        <v>2018</v>
      </c>
      <c r="B1346" s="147" t="s">
        <v>270</v>
      </c>
      <c r="C1346" s="148" t="s">
        <v>133</v>
      </c>
      <c r="D1346" s="147" t="s">
        <v>234</v>
      </c>
      <c r="E1346" s="147" t="s">
        <v>218</v>
      </c>
      <c r="F1346" s="149">
        <v>10425.831231731017</v>
      </c>
      <c r="G1346" s="148" t="s">
        <v>271</v>
      </c>
    </row>
    <row r="1347" spans="1:7">
      <c r="A1347" s="147">
        <v>2019</v>
      </c>
      <c r="B1347" s="147" t="s">
        <v>270</v>
      </c>
      <c r="C1347" s="148" t="s">
        <v>133</v>
      </c>
      <c r="D1347" s="147" t="s">
        <v>234</v>
      </c>
      <c r="E1347" s="147" t="s">
        <v>218</v>
      </c>
      <c r="F1347" s="149">
        <v>10536.877574826602</v>
      </c>
      <c r="G1347" s="148" t="s">
        <v>271</v>
      </c>
    </row>
    <row r="1348" spans="1:7">
      <c r="A1348" s="147">
        <v>2020</v>
      </c>
      <c r="B1348" s="147" t="s">
        <v>270</v>
      </c>
      <c r="C1348" s="148" t="s">
        <v>133</v>
      </c>
      <c r="D1348" s="147" t="s">
        <v>234</v>
      </c>
      <c r="E1348" s="147" t="s">
        <v>218</v>
      </c>
      <c r="F1348" s="149">
        <v>9106.4206331434871</v>
      </c>
      <c r="G1348" s="148" t="s">
        <v>271</v>
      </c>
    </row>
    <row r="1349" spans="1:7">
      <c r="A1349" s="147">
        <v>2021</v>
      </c>
      <c r="B1349" s="147" t="s">
        <v>270</v>
      </c>
      <c r="C1349" s="148" t="s">
        <v>133</v>
      </c>
      <c r="D1349" s="147" t="s">
        <v>234</v>
      </c>
      <c r="E1349" s="147" t="s">
        <v>218</v>
      </c>
      <c r="F1349" s="149">
        <v>10777.704068166548</v>
      </c>
      <c r="G1349" s="148" t="s">
        <v>271</v>
      </c>
    </row>
    <row r="1350" spans="1:7">
      <c r="A1350" s="147">
        <v>2022</v>
      </c>
      <c r="B1350" s="147" t="s">
        <v>270</v>
      </c>
      <c r="C1350" s="148" t="s">
        <v>133</v>
      </c>
      <c r="D1350" s="147" t="s">
        <v>234</v>
      </c>
      <c r="E1350" s="147" t="s">
        <v>218</v>
      </c>
      <c r="F1350" s="149">
        <v>12874.343429807997</v>
      </c>
      <c r="G1350" s="148" t="s">
        <v>271</v>
      </c>
    </row>
    <row r="1351" spans="1:7">
      <c r="A1351" s="147" t="s">
        <v>185</v>
      </c>
      <c r="B1351" s="147" t="s">
        <v>270</v>
      </c>
      <c r="C1351" s="148" t="s">
        <v>133</v>
      </c>
      <c r="D1351" s="147" t="s">
        <v>234</v>
      </c>
      <c r="E1351" s="147" t="s">
        <v>218</v>
      </c>
      <c r="F1351" s="149">
        <v>12327.686758871167</v>
      </c>
      <c r="G1351" s="148" t="s">
        <v>271</v>
      </c>
    </row>
    <row r="1352" spans="1:7">
      <c r="A1352" s="147" t="s">
        <v>107</v>
      </c>
      <c r="B1352" s="147" t="s">
        <v>270</v>
      </c>
      <c r="C1352" s="148" t="s">
        <v>133</v>
      </c>
      <c r="D1352" s="147" t="s">
        <v>234</v>
      </c>
      <c r="E1352" s="147" t="s">
        <v>218</v>
      </c>
      <c r="F1352" s="149">
        <v>9072.2127243649393</v>
      </c>
      <c r="G1352" s="148" t="s">
        <v>271</v>
      </c>
    </row>
    <row r="1353" spans="1:7">
      <c r="A1353" s="147">
        <v>2018</v>
      </c>
      <c r="B1353" s="147" t="s">
        <v>270</v>
      </c>
      <c r="C1353" s="148" t="s">
        <v>133</v>
      </c>
      <c r="D1353" s="147" t="s">
        <v>239</v>
      </c>
      <c r="E1353" s="147" t="s">
        <v>218</v>
      </c>
      <c r="F1353" s="149">
        <v>3877.9095960471323</v>
      </c>
      <c r="G1353" s="148" t="s">
        <v>271</v>
      </c>
    </row>
    <row r="1354" spans="1:7">
      <c r="A1354" s="147">
        <v>2019</v>
      </c>
      <c r="B1354" s="147" t="s">
        <v>270</v>
      </c>
      <c r="C1354" s="148" t="s">
        <v>133</v>
      </c>
      <c r="D1354" s="147" t="s">
        <v>239</v>
      </c>
      <c r="E1354" s="147" t="s">
        <v>218</v>
      </c>
      <c r="F1354" s="149">
        <v>4085.3966852270846</v>
      </c>
      <c r="G1354" s="148" t="s">
        <v>271</v>
      </c>
    </row>
    <row r="1355" spans="1:7">
      <c r="A1355" s="147">
        <v>2020</v>
      </c>
      <c r="B1355" s="147" t="s">
        <v>270</v>
      </c>
      <c r="C1355" s="148" t="s">
        <v>133</v>
      </c>
      <c r="D1355" s="147" t="s">
        <v>239</v>
      </c>
      <c r="E1355" s="147" t="s">
        <v>218</v>
      </c>
      <c r="F1355" s="149">
        <v>3561.3145715650817</v>
      </c>
      <c r="G1355" s="148" t="s">
        <v>271</v>
      </c>
    </row>
    <row r="1356" spans="1:7">
      <c r="A1356" s="147">
        <v>2021</v>
      </c>
      <c r="B1356" s="147" t="s">
        <v>270</v>
      </c>
      <c r="C1356" s="148" t="s">
        <v>133</v>
      </c>
      <c r="D1356" s="147" t="s">
        <v>239</v>
      </c>
      <c r="E1356" s="147" t="s">
        <v>218</v>
      </c>
      <c r="F1356" s="149">
        <v>4373.1315491243231</v>
      </c>
      <c r="G1356" s="148" t="s">
        <v>271</v>
      </c>
    </row>
    <row r="1357" spans="1:7">
      <c r="A1357" s="147">
        <v>2022</v>
      </c>
      <c r="B1357" s="147" t="s">
        <v>270</v>
      </c>
      <c r="C1357" s="148" t="s">
        <v>133</v>
      </c>
      <c r="D1357" s="147" t="s">
        <v>239</v>
      </c>
      <c r="E1357" s="147" t="s">
        <v>218</v>
      </c>
      <c r="F1357" s="149">
        <v>4670.092606514655</v>
      </c>
      <c r="G1357" s="148" t="s">
        <v>271</v>
      </c>
    </row>
    <row r="1358" spans="1:7">
      <c r="A1358" s="147" t="s">
        <v>185</v>
      </c>
      <c r="B1358" s="147" t="s">
        <v>270</v>
      </c>
      <c r="C1358" s="148" t="s">
        <v>133</v>
      </c>
      <c r="D1358" s="147" t="s">
        <v>239</v>
      </c>
      <c r="E1358" s="147" t="s">
        <v>218</v>
      </c>
      <c r="F1358" s="149">
        <v>5011.3878097308907</v>
      </c>
      <c r="G1358" s="148" t="s">
        <v>271</v>
      </c>
    </row>
    <row r="1359" spans="1:7">
      <c r="A1359" s="147" t="s">
        <v>107</v>
      </c>
      <c r="B1359" s="147" t="s">
        <v>270</v>
      </c>
      <c r="C1359" s="148" t="s">
        <v>133</v>
      </c>
      <c r="D1359" s="147" t="s">
        <v>239</v>
      </c>
      <c r="E1359" s="147" t="s">
        <v>218</v>
      </c>
      <c r="F1359" s="149">
        <v>5408.7391857384127</v>
      </c>
      <c r="G1359" s="148" t="s">
        <v>271</v>
      </c>
    </row>
    <row r="1360" spans="1:7">
      <c r="A1360" s="147">
        <v>2018</v>
      </c>
      <c r="B1360" s="147" t="s">
        <v>270</v>
      </c>
      <c r="C1360" s="148" t="s">
        <v>133</v>
      </c>
      <c r="D1360" s="147" t="s">
        <v>244</v>
      </c>
      <c r="E1360" s="147" t="s">
        <v>218</v>
      </c>
      <c r="F1360" s="149">
        <v>239.44310689059691</v>
      </c>
      <c r="G1360" s="148" t="s">
        <v>271</v>
      </c>
    </row>
    <row r="1361" spans="1:7">
      <c r="A1361" s="147">
        <v>2019</v>
      </c>
      <c r="B1361" s="147" t="s">
        <v>270</v>
      </c>
      <c r="C1361" s="148" t="s">
        <v>133</v>
      </c>
      <c r="D1361" s="147" t="s">
        <v>244</v>
      </c>
      <c r="E1361" s="147" t="s">
        <v>218</v>
      </c>
      <c r="F1361" s="149">
        <v>245.99277390548474</v>
      </c>
      <c r="G1361" s="148" t="s">
        <v>271</v>
      </c>
    </row>
    <row r="1362" spans="1:7">
      <c r="A1362" s="147">
        <v>2020</v>
      </c>
      <c r="B1362" s="147" t="s">
        <v>270</v>
      </c>
      <c r="C1362" s="148" t="s">
        <v>133</v>
      </c>
      <c r="D1362" s="147" t="s">
        <v>244</v>
      </c>
      <c r="E1362" s="147" t="s">
        <v>218</v>
      </c>
      <c r="F1362" s="149">
        <v>242.45851568118104</v>
      </c>
      <c r="G1362" s="148" t="s">
        <v>271</v>
      </c>
    </row>
    <row r="1363" spans="1:7">
      <c r="A1363" s="147">
        <v>2021</v>
      </c>
      <c r="B1363" s="147" t="s">
        <v>270</v>
      </c>
      <c r="C1363" s="148" t="s">
        <v>133</v>
      </c>
      <c r="D1363" s="147" t="s">
        <v>244</v>
      </c>
      <c r="E1363" s="147" t="s">
        <v>218</v>
      </c>
      <c r="F1363" s="149">
        <v>268.35719133444303</v>
      </c>
      <c r="G1363" s="148" t="s">
        <v>271</v>
      </c>
    </row>
    <row r="1364" spans="1:7">
      <c r="A1364" s="147">
        <v>2022</v>
      </c>
      <c r="B1364" s="147" t="s">
        <v>270</v>
      </c>
      <c r="C1364" s="148" t="s">
        <v>133</v>
      </c>
      <c r="D1364" s="147" t="s">
        <v>244</v>
      </c>
      <c r="E1364" s="147" t="s">
        <v>218</v>
      </c>
      <c r="F1364" s="149">
        <v>278.25380389816127</v>
      </c>
      <c r="G1364" s="148" t="s">
        <v>271</v>
      </c>
    </row>
    <row r="1365" spans="1:7">
      <c r="A1365" s="147" t="s">
        <v>185</v>
      </c>
      <c r="B1365" s="147" t="s">
        <v>270</v>
      </c>
      <c r="C1365" s="148" t="s">
        <v>133</v>
      </c>
      <c r="D1365" s="147" t="s">
        <v>244</v>
      </c>
      <c r="E1365" s="147" t="s">
        <v>218</v>
      </c>
      <c r="F1365" s="149">
        <v>331.2737779493122</v>
      </c>
      <c r="G1365" s="148" t="s">
        <v>271</v>
      </c>
    </row>
    <row r="1366" spans="1:7">
      <c r="A1366" s="147" t="s">
        <v>107</v>
      </c>
      <c r="B1366" s="147" t="s">
        <v>270</v>
      </c>
      <c r="C1366" s="148" t="s">
        <v>133</v>
      </c>
      <c r="D1366" s="147" t="s">
        <v>244</v>
      </c>
      <c r="E1366" s="147" t="s">
        <v>218</v>
      </c>
      <c r="F1366" s="149">
        <v>345.24053907972961</v>
      </c>
      <c r="G1366" s="148" t="s">
        <v>271</v>
      </c>
    </row>
    <row r="1367" spans="1:7">
      <c r="A1367" s="147">
        <v>2018</v>
      </c>
      <c r="B1367" s="147" t="s">
        <v>270</v>
      </c>
      <c r="C1367" s="148" t="s">
        <v>133</v>
      </c>
      <c r="D1367" s="147" t="s">
        <v>249</v>
      </c>
      <c r="E1367" s="147" t="s">
        <v>218</v>
      </c>
      <c r="F1367" s="149">
        <v>775.25321268901757</v>
      </c>
      <c r="G1367" s="148" t="s">
        <v>271</v>
      </c>
    </row>
    <row r="1368" spans="1:7">
      <c r="A1368" s="147">
        <v>2019</v>
      </c>
      <c r="B1368" s="147" t="s">
        <v>270</v>
      </c>
      <c r="C1368" s="148" t="s">
        <v>133</v>
      </c>
      <c r="D1368" s="147" t="s">
        <v>249</v>
      </c>
      <c r="E1368" s="147" t="s">
        <v>218</v>
      </c>
      <c r="F1368" s="149">
        <v>817.7594191900979</v>
      </c>
      <c r="G1368" s="148" t="s">
        <v>271</v>
      </c>
    </row>
    <row r="1369" spans="1:7">
      <c r="A1369" s="147">
        <v>2020</v>
      </c>
      <c r="B1369" s="147" t="s">
        <v>270</v>
      </c>
      <c r="C1369" s="148" t="s">
        <v>133</v>
      </c>
      <c r="D1369" s="147" t="s">
        <v>249</v>
      </c>
      <c r="E1369" s="147" t="s">
        <v>218</v>
      </c>
      <c r="F1369" s="149">
        <v>729.9216811051898</v>
      </c>
      <c r="G1369" s="148" t="s">
        <v>271</v>
      </c>
    </row>
    <row r="1370" spans="1:7">
      <c r="A1370" s="147">
        <v>2021</v>
      </c>
      <c r="B1370" s="147" t="s">
        <v>270</v>
      </c>
      <c r="C1370" s="148" t="s">
        <v>133</v>
      </c>
      <c r="D1370" s="147" t="s">
        <v>249</v>
      </c>
      <c r="E1370" s="147" t="s">
        <v>218</v>
      </c>
      <c r="F1370" s="149">
        <v>849.04958482589052</v>
      </c>
      <c r="G1370" s="148" t="s">
        <v>271</v>
      </c>
    </row>
    <row r="1371" spans="1:7">
      <c r="A1371" s="147">
        <v>2022</v>
      </c>
      <c r="B1371" s="147" t="s">
        <v>270</v>
      </c>
      <c r="C1371" s="148" t="s">
        <v>133</v>
      </c>
      <c r="D1371" s="147" t="s">
        <v>249</v>
      </c>
      <c r="E1371" s="147" t="s">
        <v>218</v>
      </c>
      <c r="F1371" s="149">
        <v>934.18270718584313</v>
      </c>
      <c r="G1371" s="148" t="s">
        <v>271</v>
      </c>
    </row>
    <row r="1372" spans="1:7">
      <c r="A1372" s="147" t="s">
        <v>185</v>
      </c>
      <c r="B1372" s="147" t="s">
        <v>270</v>
      </c>
      <c r="C1372" s="148" t="s">
        <v>133</v>
      </c>
      <c r="D1372" s="147" t="s">
        <v>249</v>
      </c>
      <c r="E1372" s="147" t="s">
        <v>218</v>
      </c>
      <c r="F1372" s="149">
        <v>958.51432871693487</v>
      </c>
      <c r="G1372" s="148" t="s">
        <v>271</v>
      </c>
    </row>
    <row r="1373" spans="1:7">
      <c r="A1373" s="147" t="s">
        <v>107</v>
      </c>
      <c r="B1373" s="147" t="s">
        <v>270</v>
      </c>
      <c r="C1373" s="148" t="s">
        <v>133</v>
      </c>
      <c r="D1373" s="147" t="s">
        <v>249</v>
      </c>
      <c r="E1373" s="147" t="s">
        <v>218</v>
      </c>
      <c r="F1373" s="149">
        <v>1098.6381901491613</v>
      </c>
      <c r="G1373" s="148" t="s">
        <v>271</v>
      </c>
    </row>
    <row r="1374" spans="1:7">
      <c r="A1374" s="147">
        <v>2018</v>
      </c>
      <c r="B1374" s="147" t="s">
        <v>270</v>
      </c>
      <c r="C1374" s="148" t="s">
        <v>133</v>
      </c>
      <c r="D1374" s="147" t="s">
        <v>254</v>
      </c>
      <c r="E1374" s="147" t="s">
        <v>218</v>
      </c>
      <c r="F1374" s="149">
        <v>716.18464352428941</v>
      </c>
      <c r="G1374" s="148" t="s">
        <v>271</v>
      </c>
    </row>
    <row r="1375" spans="1:7">
      <c r="A1375" s="147">
        <v>2019</v>
      </c>
      <c r="B1375" s="147" t="s">
        <v>270</v>
      </c>
      <c r="C1375" s="148" t="s">
        <v>133</v>
      </c>
      <c r="D1375" s="147" t="s">
        <v>254</v>
      </c>
      <c r="E1375" s="147" t="s">
        <v>218</v>
      </c>
      <c r="F1375" s="149">
        <v>900.1702769290531</v>
      </c>
      <c r="G1375" s="148" t="s">
        <v>271</v>
      </c>
    </row>
    <row r="1376" spans="1:7">
      <c r="A1376" s="147">
        <v>2020</v>
      </c>
      <c r="B1376" s="147" t="s">
        <v>270</v>
      </c>
      <c r="C1376" s="148" t="s">
        <v>133</v>
      </c>
      <c r="D1376" s="147" t="s">
        <v>254</v>
      </c>
      <c r="E1376" s="147" t="s">
        <v>218</v>
      </c>
      <c r="F1376" s="149">
        <v>760.35435415147469</v>
      </c>
      <c r="G1376" s="148" t="s">
        <v>271</v>
      </c>
    </row>
    <row r="1377" spans="1:7">
      <c r="A1377" s="147">
        <v>2021</v>
      </c>
      <c r="B1377" s="147" t="s">
        <v>270</v>
      </c>
      <c r="C1377" s="148" t="s">
        <v>133</v>
      </c>
      <c r="D1377" s="147" t="s">
        <v>254</v>
      </c>
      <c r="E1377" s="147" t="s">
        <v>218</v>
      </c>
      <c r="F1377" s="149">
        <v>873.63324930930071</v>
      </c>
      <c r="G1377" s="148" t="s">
        <v>271</v>
      </c>
    </row>
    <row r="1378" spans="1:7">
      <c r="A1378" s="147">
        <v>2022</v>
      </c>
      <c r="B1378" s="147" t="s">
        <v>270</v>
      </c>
      <c r="C1378" s="148" t="s">
        <v>133</v>
      </c>
      <c r="D1378" s="147" t="s">
        <v>254</v>
      </c>
      <c r="E1378" s="147" t="s">
        <v>218</v>
      </c>
      <c r="F1378" s="149">
        <v>973.61906468645384</v>
      </c>
      <c r="G1378" s="148" t="s">
        <v>271</v>
      </c>
    </row>
    <row r="1379" spans="1:7">
      <c r="A1379" s="147" t="s">
        <v>185</v>
      </c>
      <c r="B1379" s="147" t="s">
        <v>270</v>
      </c>
      <c r="C1379" s="148" t="s">
        <v>133</v>
      </c>
      <c r="D1379" s="147" t="s">
        <v>254</v>
      </c>
      <c r="E1379" s="147" t="s">
        <v>218</v>
      </c>
      <c r="F1379" s="149">
        <v>933.06847157341008</v>
      </c>
      <c r="G1379" s="148" t="s">
        <v>271</v>
      </c>
    </row>
    <row r="1380" spans="1:7">
      <c r="A1380" s="147" t="s">
        <v>107</v>
      </c>
      <c r="B1380" s="147" t="s">
        <v>270</v>
      </c>
      <c r="C1380" s="148" t="s">
        <v>133</v>
      </c>
      <c r="D1380" s="147" t="s">
        <v>254</v>
      </c>
      <c r="E1380" s="147" t="s">
        <v>218</v>
      </c>
      <c r="F1380" s="149">
        <v>1080.8779461321139</v>
      </c>
      <c r="G1380" s="148" t="s">
        <v>271</v>
      </c>
    </row>
    <row r="1381" spans="1:7">
      <c r="A1381" s="147">
        <v>2018</v>
      </c>
      <c r="B1381" s="147" t="s">
        <v>270</v>
      </c>
      <c r="C1381" s="148" t="s">
        <v>133</v>
      </c>
      <c r="D1381" s="147" t="s">
        <v>259</v>
      </c>
      <c r="E1381" s="147" t="s">
        <v>218</v>
      </c>
      <c r="F1381" s="149">
        <v>40292.867705261029</v>
      </c>
      <c r="G1381" s="148" t="s">
        <v>271</v>
      </c>
    </row>
    <row r="1382" spans="1:7">
      <c r="A1382" s="147">
        <v>2019</v>
      </c>
      <c r="B1382" s="147" t="s">
        <v>270</v>
      </c>
      <c r="C1382" s="148" t="s">
        <v>133</v>
      </c>
      <c r="D1382" s="147" t="s">
        <v>259</v>
      </c>
      <c r="E1382" s="147" t="s">
        <v>218</v>
      </c>
      <c r="F1382" s="149">
        <v>41323.303231218415</v>
      </c>
      <c r="G1382" s="148" t="s">
        <v>271</v>
      </c>
    </row>
    <row r="1383" spans="1:7">
      <c r="A1383" s="147">
        <v>2020</v>
      </c>
      <c r="B1383" s="147" t="s">
        <v>270</v>
      </c>
      <c r="C1383" s="148" t="s">
        <v>133</v>
      </c>
      <c r="D1383" s="147" t="s">
        <v>259</v>
      </c>
      <c r="E1383" s="147" t="s">
        <v>218</v>
      </c>
      <c r="F1383" s="149">
        <v>32302.417021735015</v>
      </c>
      <c r="G1383" s="148" t="s">
        <v>271</v>
      </c>
    </row>
    <row r="1384" spans="1:7">
      <c r="A1384" s="147">
        <v>2021</v>
      </c>
      <c r="B1384" s="147" t="s">
        <v>270</v>
      </c>
      <c r="C1384" s="148" t="s">
        <v>133</v>
      </c>
      <c r="D1384" s="147" t="s">
        <v>259</v>
      </c>
      <c r="E1384" s="147" t="s">
        <v>218</v>
      </c>
      <c r="F1384" s="149">
        <v>38051.866659985797</v>
      </c>
      <c r="G1384" s="148" t="s">
        <v>271</v>
      </c>
    </row>
    <row r="1385" spans="1:7">
      <c r="A1385" s="147">
        <v>2022</v>
      </c>
      <c r="B1385" s="147" t="s">
        <v>270</v>
      </c>
      <c r="C1385" s="148" t="s">
        <v>133</v>
      </c>
      <c r="D1385" s="147" t="s">
        <v>259</v>
      </c>
      <c r="E1385" s="147" t="s">
        <v>218</v>
      </c>
      <c r="F1385" s="149">
        <v>43333.48184716719</v>
      </c>
      <c r="G1385" s="148" t="s">
        <v>271</v>
      </c>
    </row>
    <row r="1386" spans="1:7">
      <c r="A1386" s="147" t="s">
        <v>185</v>
      </c>
      <c r="B1386" s="147" t="s">
        <v>270</v>
      </c>
      <c r="C1386" s="148" t="s">
        <v>133</v>
      </c>
      <c r="D1386" s="147" t="s">
        <v>259</v>
      </c>
      <c r="E1386" s="147" t="s">
        <v>218</v>
      </c>
      <c r="F1386" s="149">
        <v>49241.052359708119</v>
      </c>
      <c r="G1386" s="148" t="s">
        <v>271</v>
      </c>
    </row>
    <row r="1387" spans="1:7">
      <c r="A1387" s="147" t="s">
        <v>107</v>
      </c>
      <c r="B1387" s="147" t="s">
        <v>270</v>
      </c>
      <c r="C1387" s="148" t="s">
        <v>133</v>
      </c>
      <c r="D1387" s="147" t="s">
        <v>259</v>
      </c>
      <c r="E1387" s="147" t="s">
        <v>218</v>
      </c>
      <c r="F1387" s="149">
        <v>51919.465567997264</v>
      </c>
      <c r="G1387" s="148" t="s">
        <v>271</v>
      </c>
    </row>
    <row r="1388" spans="1:7">
      <c r="A1388" s="147">
        <v>2018</v>
      </c>
      <c r="B1388" s="147" t="s">
        <v>270</v>
      </c>
      <c r="C1388" s="148" t="s">
        <v>133</v>
      </c>
      <c r="D1388" s="147" t="s">
        <v>269</v>
      </c>
      <c r="E1388" s="147" t="s">
        <v>218</v>
      </c>
      <c r="F1388" s="149">
        <v>6139.7846957090223</v>
      </c>
      <c r="G1388" s="148" t="s">
        <v>271</v>
      </c>
    </row>
    <row r="1389" spans="1:7">
      <c r="A1389" s="147">
        <v>2019</v>
      </c>
      <c r="B1389" s="147" t="s">
        <v>270</v>
      </c>
      <c r="C1389" s="148" t="s">
        <v>133</v>
      </c>
      <c r="D1389" s="147" t="s">
        <v>269</v>
      </c>
      <c r="E1389" s="147" t="s">
        <v>218</v>
      </c>
      <c r="F1389" s="149">
        <v>7101.4975980902609</v>
      </c>
      <c r="G1389" s="148" t="s">
        <v>271</v>
      </c>
    </row>
    <row r="1390" spans="1:7">
      <c r="A1390" s="147">
        <v>2020</v>
      </c>
      <c r="B1390" s="147" t="s">
        <v>270</v>
      </c>
      <c r="C1390" s="148" t="s">
        <v>133</v>
      </c>
      <c r="D1390" s="147" t="s">
        <v>269</v>
      </c>
      <c r="E1390" s="147" t="s">
        <v>218</v>
      </c>
      <c r="F1390" s="149">
        <v>6154.0741322917975</v>
      </c>
      <c r="G1390" s="148" t="s">
        <v>271</v>
      </c>
    </row>
    <row r="1391" spans="1:7">
      <c r="A1391" s="147">
        <v>2021</v>
      </c>
      <c r="B1391" s="147" t="s">
        <v>270</v>
      </c>
      <c r="C1391" s="148" t="s">
        <v>133</v>
      </c>
      <c r="D1391" s="147" t="s">
        <v>269</v>
      </c>
      <c r="E1391" s="147" t="s">
        <v>218</v>
      </c>
      <c r="F1391" s="149">
        <v>7091.6883708508722</v>
      </c>
      <c r="G1391" s="148" t="s">
        <v>271</v>
      </c>
    </row>
    <row r="1392" spans="1:7">
      <c r="A1392" s="147">
        <v>2022</v>
      </c>
      <c r="B1392" s="147" t="s">
        <v>270</v>
      </c>
      <c r="C1392" s="148" t="s">
        <v>133</v>
      </c>
      <c r="D1392" s="147" t="s">
        <v>269</v>
      </c>
      <c r="E1392" s="147" t="s">
        <v>218</v>
      </c>
      <c r="F1392" s="149">
        <v>7926.1422332002858</v>
      </c>
      <c r="G1392" s="148" t="s">
        <v>271</v>
      </c>
    </row>
    <row r="1393" spans="1:7">
      <c r="A1393" s="147" t="s">
        <v>185</v>
      </c>
      <c r="B1393" s="147" t="s">
        <v>270</v>
      </c>
      <c r="C1393" s="148" t="s">
        <v>133</v>
      </c>
      <c r="D1393" s="147" t="s">
        <v>269</v>
      </c>
      <c r="E1393" s="147" t="s">
        <v>218</v>
      </c>
      <c r="F1393" s="149">
        <v>9306.6335009879967</v>
      </c>
      <c r="G1393" s="148" t="s">
        <v>271</v>
      </c>
    </row>
    <row r="1394" spans="1:7">
      <c r="A1394" s="147" t="s">
        <v>107</v>
      </c>
      <c r="B1394" s="147" t="s">
        <v>270</v>
      </c>
      <c r="C1394" s="148" t="s">
        <v>133</v>
      </c>
      <c r="D1394" s="147" t="s">
        <v>269</v>
      </c>
      <c r="E1394" s="147" t="s">
        <v>218</v>
      </c>
      <c r="F1394" s="149">
        <v>11524.13658974524</v>
      </c>
      <c r="G1394" s="148" t="s">
        <v>271</v>
      </c>
    </row>
    <row r="1395" spans="1:7">
      <c r="A1395" s="147">
        <v>2018</v>
      </c>
      <c r="B1395" s="147" t="s">
        <v>270</v>
      </c>
      <c r="C1395" s="148" t="s">
        <v>133</v>
      </c>
      <c r="D1395" s="147" t="s">
        <v>264</v>
      </c>
      <c r="E1395" s="147" t="s">
        <v>218</v>
      </c>
      <c r="F1395" s="149">
        <v>1785.8464657293653</v>
      </c>
      <c r="G1395" s="148" t="s">
        <v>271</v>
      </c>
    </row>
    <row r="1396" spans="1:7">
      <c r="A1396" s="147">
        <v>2019</v>
      </c>
      <c r="B1396" s="147" t="s">
        <v>270</v>
      </c>
      <c r="C1396" s="148" t="s">
        <v>133</v>
      </c>
      <c r="D1396" s="147" t="s">
        <v>264</v>
      </c>
      <c r="E1396" s="147" t="s">
        <v>218</v>
      </c>
      <c r="F1396" s="149">
        <v>1782.8624794534305</v>
      </c>
      <c r="G1396" s="148" t="s">
        <v>271</v>
      </c>
    </row>
    <row r="1397" spans="1:7">
      <c r="A1397" s="147">
        <v>2020</v>
      </c>
      <c r="B1397" s="147" t="s">
        <v>270</v>
      </c>
      <c r="C1397" s="148" t="s">
        <v>133</v>
      </c>
      <c r="D1397" s="147" t="s">
        <v>264</v>
      </c>
      <c r="E1397" s="147" t="s">
        <v>218</v>
      </c>
      <c r="F1397" s="149">
        <v>1601.3754222560635</v>
      </c>
      <c r="G1397" s="148" t="s">
        <v>271</v>
      </c>
    </row>
    <row r="1398" spans="1:7">
      <c r="A1398" s="147">
        <v>2021</v>
      </c>
      <c r="B1398" s="147" t="s">
        <v>270</v>
      </c>
      <c r="C1398" s="148" t="s">
        <v>133</v>
      </c>
      <c r="D1398" s="147" t="s">
        <v>264</v>
      </c>
      <c r="E1398" s="147" t="s">
        <v>218</v>
      </c>
      <c r="F1398" s="149">
        <v>1903.9625405012746</v>
      </c>
      <c r="G1398" s="148" t="s">
        <v>271</v>
      </c>
    </row>
    <row r="1399" spans="1:7">
      <c r="A1399" s="147">
        <v>2022</v>
      </c>
      <c r="B1399" s="147" t="s">
        <v>270</v>
      </c>
      <c r="C1399" s="148" t="s">
        <v>133</v>
      </c>
      <c r="D1399" s="147" t="s">
        <v>264</v>
      </c>
      <c r="E1399" s="147" t="s">
        <v>218</v>
      </c>
      <c r="F1399" s="149">
        <v>2074.3063451848229</v>
      </c>
      <c r="G1399" s="148" t="s">
        <v>271</v>
      </c>
    </row>
    <row r="1400" spans="1:7">
      <c r="A1400" s="147" t="s">
        <v>185</v>
      </c>
      <c r="B1400" s="147" t="s">
        <v>270</v>
      </c>
      <c r="C1400" s="148" t="s">
        <v>133</v>
      </c>
      <c r="D1400" s="147" t="s">
        <v>264</v>
      </c>
      <c r="E1400" s="147" t="s">
        <v>218</v>
      </c>
      <c r="F1400" s="149">
        <v>2158.9866426293975</v>
      </c>
      <c r="G1400" s="148" t="s">
        <v>271</v>
      </c>
    </row>
    <row r="1401" spans="1:7">
      <c r="A1401" s="147" t="s">
        <v>107</v>
      </c>
      <c r="B1401" s="147" t="s">
        <v>270</v>
      </c>
      <c r="C1401" s="148" t="s">
        <v>133</v>
      </c>
      <c r="D1401" s="147" t="s">
        <v>264</v>
      </c>
      <c r="E1401" s="147" t="s">
        <v>218</v>
      </c>
      <c r="F1401" s="149">
        <v>2280.3624926917159</v>
      </c>
      <c r="G1401" s="148" t="s">
        <v>271</v>
      </c>
    </row>
    <row r="1402" spans="1:7">
      <c r="A1402" s="147">
        <v>2018</v>
      </c>
      <c r="B1402" s="147" t="s">
        <v>270</v>
      </c>
      <c r="C1402" s="148" t="s">
        <v>133</v>
      </c>
      <c r="D1402" s="147" t="s">
        <v>136</v>
      </c>
      <c r="E1402" s="147" t="s">
        <v>218</v>
      </c>
      <c r="F1402" s="149">
        <v>67316.471181248751</v>
      </c>
      <c r="G1402" s="148" t="s">
        <v>271</v>
      </c>
    </row>
    <row r="1403" spans="1:7">
      <c r="A1403" s="147">
        <v>2019</v>
      </c>
      <c r="B1403" s="147" t="s">
        <v>270</v>
      </c>
      <c r="C1403" s="148" t="s">
        <v>133</v>
      </c>
      <c r="D1403" s="147" t="s">
        <v>136</v>
      </c>
      <c r="E1403" s="147" t="s">
        <v>218</v>
      </c>
      <c r="F1403" s="149">
        <v>69778.991192557034</v>
      </c>
      <c r="G1403" s="148" t="s">
        <v>271</v>
      </c>
    </row>
    <row r="1404" spans="1:7">
      <c r="A1404" s="147">
        <v>2020</v>
      </c>
      <c r="B1404" s="147" t="s">
        <v>270</v>
      </c>
      <c r="C1404" s="148" t="s">
        <v>133</v>
      </c>
      <c r="D1404" s="147" t="s">
        <v>136</v>
      </c>
      <c r="E1404" s="147" t="s">
        <v>218</v>
      </c>
      <c r="F1404" s="149">
        <v>57059.846521532621</v>
      </c>
      <c r="G1404" s="148" t="s">
        <v>271</v>
      </c>
    </row>
    <row r="1405" spans="1:7">
      <c r="A1405" s="147">
        <v>2021</v>
      </c>
      <c r="B1405" s="147" t="s">
        <v>270</v>
      </c>
      <c r="C1405" s="148" t="s">
        <v>133</v>
      </c>
      <c r="D1405" s="147" t="s">
        <v>136</v>
      </c>
      <c r="E1405" s="147" t="s">
        <v>218</v>
      </c>
      <c r="F1405" s="149">
        <v>67396.392506237826</v>
      </c>
      <c r="G1405" s="148" t="s">
        <v>271</v>
      </c>
    </row>
    <row r="1406" spans="1:7">
      <c r="A1406" s="147">
        <v>2022</v>
      </c>
      <c r="B1406" s="147" t="s">
        <v>270</v>
      </c>
      <c r="C1406" s="148" t="s">
        <v>133</v>
      </c>
      <c r="D1406" s="147" t="s">
        <v>136</v>
      </c>
      <c r="E1406" s="147" t="s">
        <v>218</v>
      </c>
      <c r="F1406" s="149">
        <v>76479.304470937466</v>
      </c>
      <c r="G1406" s="148" t="s">
        <v>271</v>
      </c>
    </row>
    <row r="1407" spans="1:7">
      <c r="A1407" s="147" t="s">
        <v>185</v>
      </c>
      <c r="B1407" s="147" t="s">
        <v>270</v>
      </c>
      <c r="C1407" s="148" t="s">
        <v>133</v>
      </c>
      <c r="D1407" s="147" t="s">
        <v>136</v>
      </c>
      <c r="E1407" s="147" t="s">
        <v>218</v>
      </c>
      <c r="F1407" s="149">
        <v>83812.155244335139</v>
      </c>
      <c r="G1407" s="148" t="s">
        <v>271</v>
      </c>
    </row>
    <row r="1408" spans="1:7">
      <c r="A1408" s="147" t="s">
        <v>107</v>
      </c>
      <c r="B1408" s="147" t="s">
        <v>270</v>
      </c>
      <c r="C1408" s="148" t="s">
        <v>133</v>
      </c>
      <c r="D1408" s="147" t="s">
        <v>136</v>
      </c>
      <c r="E1408" s="147" t="s">
        <v>218</v>
      </c>
      <c r="F1408" s="149">
        <v>86523.959131747208</v>
      </c>
      <c r="G1408" s="148" t="s">
        <v>271</v>
      </c>
    </row>
    <row r="1409" spans="1:7">
      <c r="A1409" s="147">
        <v>2018</v>
      </c>
      <c r="B1409" s="147" t="s">
        <v>270</v>
      </c>
      <c r="C1409" s="148" t="s">
        <v>133</v>
      </c>
      <c r="D1409" s="147" t="s">
        <v>224</v>
      </c>
      <c r="E1409" s="147" t="s">
        <v>218</v>
      </c>
      <c r="F1409" s="149">
        <v>868.09565494895742</v>
      </c>
      <c r="G1409" s="148" t="s">
        <v>219</v>
      </c>
    </row>
    <row r="1410" spans="1:7">
      <c r="A1410" s="147">
        <v>2019</v>
      </c>
      <c r="B1410" s="147" t="s">
        <v>270</v>
      </c>
      <c r="C1410" s="148" t="s">
        <v>133</v>
      </c>
      <c r="D1410" s="147" t="s">
        <v>224</v>
      </c>
      <c r="E1410" s="147" t="s">
        <v>218</v>
      </c>
      <c r="F1410" s="149">
        <v>878.66318411365489</v>
      </c>
      <c r="G1410" s="148" t="s">
        <v>219</v>
      </c>
    </row>
    <row r="1411" spans="1:7">
      <c r="A1411" s="147">
        <v>2020</v>
      </c>
      <c r="B1411" s="147" t="s">
        <v>270</v>
      </c>
      <c r="C1411" s="148" t="s">
        <v>133</v>
      </c>
      <c r="D1411" s="147" t="s">
        <v>224</v>
      </c>
      <c r="E1411" s="147" t="s">
        <v>218</v>
      </c>
      <c r="F1411" s="149">
        <v>940.66127092922409</v>
      </c>
      <c r="G1411" s="148" t="s">
        <v>219</v>
      </c>
    </row>
    <row r="1412" spans="1:7">
      <c r="A1412" s="147">
        <v>2021</v>
      </c>
      <c r="B1412" s="147" t="s">
        <v>270</v>
      </c>
      <c r="C1412" s="148" t="s">
        <v>133</v>
      </c>
      <c r="D1412" s="147" t="s">
        <v>224</v>
      </c>
      <c r="E1412" s="147" t="s">
        <v>218</v>
      </c>
      <c r="F1412" s="149">
        <v>1075.2605298875483</v>
      </c>
      <c r="G1412" s="148" t="s">
        <v>219</v>
      </c>
    </row>
    <row r="1413" spans="1:7">
      <c r="A1413" s="147">
        <v>2022</v>
      </c>
      <c r="B1413" s="147" t="s">
        <v>270</v>
      </c>
      <c r="C1413" s="148" t="s">
        <v>133</v>
      </c>
      <c r="D1413" s="147" t="s">
        <v>224</v>
      </c>
      <c r="E1413" s="147" t="s">
        <v>218</v>
      </c>
      <c r="F1413" s="149">
        <v>1094.1511883352066</v>
      </c>
      <c r="G1413" s="148" t="s">
        <v>219</v>
      </c>
    </row>
    <row r="1414" spans="1:7">
      <c r="A1414" s="147" t="s">
        <v>185</v>
      </c>
      <c r="B1414" s="147" t="s">
        <v>270</v>
      </c>
      <c r="C1414" s="148" t="s">
        <v>133</v>
      </c>
      <c r="D1414" s="147" t="s">
        <v>224</v>
      </c>
      <c r="E1414" s="147" t="s">
        <v>218</v>
      </c>
      <c r="F1414" s="149">
        <v>1121.75404834602</v>
      </c>
      <c r="G1414" s="148" t="s">
        <v>219</v>
      </c>
    </row>
    <row r="1415" spans="1:7">
      <c r="A1415" s="147" t="s">
        <v>107</v>
      </c>
      <c r="B1415" s="147" t="s">
        <v>270</v>
      </c>
      <c r="C1415" s="148" t="s">
        <v>133</v>
      </c>
      <c r="D1415" s="147" t="s">
        <v>224</v>
      </c>
      <c r="E1415" s="147" t="s">
        <v>218</v>
      </c>
      <c r="F1415" s="149">
        <v>1190.6921627469167</v>
      </c>
      <c r="G1415" s="148" t="s">
        <v>219</v>
      </c>
    </row>
    <row r="1416" spans="1:7">
      <c r="A1416" s="147">
        <v>2018</v>
      </c>
      <c r="B1416" s="147" t="s">
        <v>270</v>
      </c>
      <c r="C1416" s="148" t="s">
        <v>133</v>
      </c>
      <c r="D1416" s="147" t="s">
        <v>229</v>
      </c>
      <c r="E1416" s="147" t="s">
        <v>218</v>
      </c>
      <c r="F1416" s="149">
        <v>2195.2548687183262</v>
      </c>
      <c r="G1416" s="148" t="s">
        <v>219</v>
      </c>
    </row>
    <row r="1417" spans="1:7">
      <c r="A1417" s="147">
        <v>2019</v>
      </c>
      <c r="B1417" s="147" t="s">
        <v>270</v>
      </c>
      <c r="C1417" s="148" t="s">
        <v>133</v>
      </c>
      <c r="D1417" s="147" t="s">
        <v>229</v>
      </c>
      <c r="E1417" s="147" t="s">
        <v>218</v>
      </c>
      <c r="F1417" s="149">
        <v>2121.7615067266538</v>
      </c>
      <c r="G1417" s="148" t="s">
        <v>219</v>
      </c>
    </row>
    <row r="1418" spans="1:7">
      <c r="A1418" s="147">
        <v>2020</v>
      </c>
      <c r="B1418" s="147" t="s">
        <v>270</v>
      </c>
      <c r="C1418" s="148" t="s">
        <v>133</v>
      </c>
      <c r="D1418" s="147" t="s">
        <v>229</v>
      </c>
      <c r="E1418" s="147" t="s">
        <v>218</v>
      </c>
      <c r="F1418" s="149">
        <v>1692.5544613076092</v>
      </c>
      <c r="G1418" s="148" t="s">
        <v>219</v>
      </c>
    </row>
    <row r="1419" spans="1:7">
      <c r="A1419" s="147">
        <v>2021</v>
      </c>
      <c r="B1419" s="147" t="s">
        <v>270</v>
      </c>
      <c r="C1419" s="148" t="s">
        <v>133</v>
      </c>
      <c r="D1419" s="147" t="s">
        <v>229</v>
      </c>
      <c r="E1419" s="147" t="s">
        <v>218</v>
      </c>
      <c r="F1419" s="149">
        <v>2113.1895788965871</v>
      </c>
      <c r="G1419" s="148" t="s">
        <v>219</v>
      </c>
    </row>
    <row r="1420" spans="1:7">
      <c r="A1420" s="147">
        <v>2022</v>
      </c>
      <c r="B1420" s="147" t="s">
        <v>270</v>
      </c>
      <c r="C1420" s="148" t="s">
        <v>133</v>
      </c>
      <c r="D1420" s="147" t="s">
        <v>229</v>
      </c>
      <c r="E1420" s="147" t="s">
        <v>218</v>
      </c>
      <c r="F1420" s="149">
        <v>2227.297424237096</v>
      </c>
      <c r="G1420" s="148" t="s">
        <v>219</v>
      </c>
    </row>
    <row r="1421" spans="1:7">
      <c r="A1421" s="147" t="s">
        <v>185</v>
      </c>
      <c r="B1421" s="147" t="s">
        <v>270</v>
      </c>
      <c r="C1421" s="148" t="s">
        <v>133</v>
      </c>
      <c r="D1421" s="147" t="s">
        <v>229</v>
      </c>
      <c r="E1421" s="147" t="s">
        <v>218</v>
      </c>
      <c r="F1421" s="149">
        <v>2267.4689604852797</v>
      </c>
      <c r="G1421" s="148" t="s">
        <v>219</v>
      </c>
    </row>
    <row r="1422" spans="1:7">
      <c r="A1422" s="147" t="s">
        <v>107</v>
      </c>
      <c r="B1422" s="147" t="s">
        <v>270</v>
      </c>
      <c r="C1422" s="148" t="s">
        <v>133</v>
      </c>
      <c r="D1422" s="147" t="s">
        <v>229</v>
      </c>
      <c r="E1422" s="147" t="s">
        <v>218</v>
      </c>
      <c r="F1422" s="149">
        <v>2413.723220871163</v>
      </c>
      <c r="G1422" s="148" t="s">
        <v>219</v>
      </c>
    </row>
    <row r="1423" spans="1:7">
      <c r="A1423" s="147">
        <v>2018</v>
      </c>
      <c r="B1423" s="147" t="s">
        <v>270</v>
      </c>
      <c r="C1423" s="148" t="s">
        <v>133</v>
      </c>
      <c r="D1423" s="147" t="s">
        <v>234</v>
      </c>
      <c r="E1423" s="147" t="s">
        <v>218</v>
      </c>
      <c r="F1423" s="149">
        <v>10425.831231731017</v>
      </c>
      <c r="G1423" s="148" t="s">
        <v>219</v>
      </c>
    </row>
    <row r="1424" spans="1:7">
      <c r="A1424" s="147">
        <v>2019</v>
      </c>
      <c r="B1424" s="147" t="s">
        <v>270</v>
      </c>
      <c r="C1424" s="148" t="s">
        <v>133</v>
      </c>
      <c r="D1424" s="147" t="s">
        <v>234</v>
      </c>
      <c r="E1424" s="147" t="s">
        <v>218</v>
      </c>
      <c r="F1424" s="149">
        <v>10487.857385346591</v>
      </c>
      <c r="G1424" s="148" t="s">
        <v>219</v>
      </c>
    </row>
    <row r="1425" spans="1:7">
      <c r="A1425" s="147">
        <v>2020</v>
      </c>
      <c r="B1425" s="147" t="s">
        <v>270</v>
      </c>
      <c r="C1425" s="148" t="s">
        <v>133</v>
      </c>
      <c r="D1425" s="147" t="s">
        <v>234</v>
      </c>
      <c r="E1425" s="147" t="s">
        <v>218</v>
      </c>
      <c r="F1425" s="149">
        <v>9091.6596968649483</v>
      </c>
      <c r="G1425" s="148" t="s">
        <v>219</v>
      </c>
    </row>
    <row r="1426" spans="1:7">
      <c r="A1426" s="147">
        <v>2021</v>
      </c>
      <c r="B1426" s="147" t="s">
        <v>270</v>
      </c>
      <c r="C1426" s="148" t="s">
        <v>133</v>
      </c>
      <c r="D1426" s="147" t="s">
        <v>234</v>
      </c>
      <c r="E1426" s="147" t="s">
        <v>218</v>
      </c>
      <c r="F1426" s="149">
        <v>10679.611492792366</v>
      </c>
      <c r="G1426" s="148" t="s">
        <v>219</v>
      </c>
    </row>
    <row r="1427" spans="1:7">
      <c r="A1427" s="147">
        <v>2022</v>
      </c>
      <c r="B1427" s="147" t="s">
        <v>270</v>
      </c>
      <c r="C1427" s="148" t="s">
        <v>133</v>
      </c>
      <c r="D1427" s="147" t="s">
        <v>234</v>
      </c>
      <c r="E1427" s="147" t="s">
        <v>218</v>
      </c>
      <c r="F1427" s="149">
        <v>12490.037699297338</v>
      </c>
      <c r="G1427" s="148" t="s">
        <v>219</v>
      </c>
    </row>
    <row r="1428" spans="1:7">
      <c r="A1428" s="147" t="s">
        <v>185</v>
      </c>
      <c r="B1428" s="147" t="s">
        <v>270</v>
      </c>
      <c r="C1428" s="148" t="s">
        <v>133</v>
      </c>
      <c r="D1428" s="147" t="s">
        <v>234</v>
      </c>
      <c r="E1428" s="147" t="s">
        <v>218</v>
      </c>
      <c r="F1428" s="149">
        <v>11673.276693367514</v>
      </c>
      <c r="G1428" s="148" t="s">
        <v>219</v>
      </c>
    </row>
    <row r="1429" spans="1:7">
      <c r="A1429" s="147" t="s">
        <v>107</v>
      </c>
      <c r="B1429" s="147" t="s">
        <v>270</v>
      </c>
      <c r="C1429" s="148" t="s">
        <v>133</v>
      </c>
      <c r="D1429" s="147" t="s">
        <v>234</v>
      </c>
      <c r="E1429" s="147" t="s">
        <v>218</v>
      </c>
      <c r="F1429" s="149">
        <v>8517.2737903209418</v>
      </c>
      <c r="G1429" s="148" t="s">
        <v>219</v>
      </c>
    </row>
    <row r="1430" spans="1:7">
      <c r="A1430" s="147">
        <v>2018</v>
      </c>
      <c r="B1430" s="147" t="s">
        <v>270</v>
      </c>
      <c r="C1430" s="148" t="s">
        <v>133</v>
      </c>
      <c r="D1430" s="147" t="s">
        <v>239</v>
      </c>
      <c r="E1430" s="147" t="s">
        <v>218</v>
      </c>
      <c r="F1430" s="149">
        <v>3877.9095960471323</v>
      </c>
      <c r="G1430" s="148" t="s">
        <v>219</v>
      </c>
    </row>
    <row r="1431" spans="1:7">
      <c r="A1431" s="147">
        <v>2019</v>
      </c>
      <c r="B1431" s="147" t="s">
        <v>270</v>
      </c>
      <c r="C1431" s="148" t="s">
        <v>133</v>
      </c>
      <c r="D1431" s="147" t="s">
        <v>239</v>
      </c>
      <c r="E1431" s="147" t="s">
        <v>218</v>
      </c>
      <c r="F1431" s="149">
        <v>4095.8284103969809</v>
      </c>
      <c r="G1431" s="148" t="s">
        <v>219</v>
      </c>
    </row>
    <row r="1432" spans="1:7">
      <c r="A1432" s="147">
        <v>2020</v>
      </c>
      <c r="B1432" s="147" t="s">
        <v>270</v>
      </c>
      <c r="C1432" s="148" t="s">
        <v>133</v>
      </c>
      <c r="D1432" s="147" t="s">
        <v>239</v>
      </c>
      <c r="E1432" s="147" t="s">
        <v>218</v>
      </c>
      <c r="F1432" s="149">
        <v>3581.5862875678718</v>
      </c>
      <c r="G1432" s="148" t="s">
        <v>219</v>
      </c>
    </row>
    <row r="1433" spans="1:7">
      <c r="A1433" s="147">
        <v>2021</v>
      </c>
      <c r="B1433" s="147" t="s">
        <v>270</v>
      </c>
      <c r="C1433" s="148" t="s">
        <v>133</v>
      </c>
      <c r="D1433" s="147" t="s">
        <v>239</v>
      </c>
      <c r="E1433" s="147" t="s">
        <v>218</v>
      </c>
      <c r="F1433" s="149">
        <v>4328.5148184014279</v>
      </c>
      <c r="G1433" s="148" t="s">
        <v>219</v>
      </c>
    </row>
    <row r="1434" spans="1:7">
      <c r="A1434" s="147">
        <v>2022</v>
      </c>
      <c r="B1434" s="147" t="s">
        <v>270</v>
      </c>
      <c r="C1434" s="148" t="s">
        <v>133</v>
      </c>
      <c r="D1434" s="147" t="s">
        <v>239</v>
      </c>
      <c r="E1434" s="147" t="s">
        <v>218</v>
      </c>
      <c r="F1434" s="149">
        <v>4517.7988276627784</v>
      </c>
      <c r="G1434" s="148" t="s">
        <v>219</v>
      </c>
    </row>
    <row r="1435" spans="1:7">
      <c r="A1435" s="147" t="s">
        <v>185</v>
      </c>
      <c r="B1435" s="147" t="s">
        <v>270</v>
      </c>
      <c r="C1435" s="148" t="s">
        <v>133</v>
      </c>
      <c r="D1435" s="147" t="s">
        <v>239</v>
      </c>
      <c r="E1435" s="147" t="s">
        <v>218</v>
      </c>
      <c r="F1435" s="149">
        <v>4762.1553127871603</v>
      </c>
      <c r="G1435" s="148" t="s">
        <v>219</v>
      </c>
    </row>
    <row r="1436" spans="1:7">
      <c r="A1436" s="147" t="s">
        <v>107</v>
      </c>
      <c r="B1436" s="147" t="s">
        <v>270</v>
      </c>
      <c r="C1436" s="148" t="s">
        <v>133</v>
      </c>
      <c r="D1436" s="147" t="s">
        <v>239</v>
      </c>
      <c r="E1436" s="147" t="s">
        <v>218</v>
      </c>
      <c r="F1436" s="149">
        <v>5643.1172489350474</v>
      </c>
      <c r="G1436" s="148" t="s">
        <v>219</v>
      </c>
    </row>
    <row r="1437" spans="1:7">
      <c r="A1437" s="147">
        <v>2018</v>
      </c>
      <c r="B1437" s="147" t="s">
        <v>270</v>
      </c>
      <c r="C1437" s="148" t="s">
        <v>133</v>
      </c>
      <c r="D1437" s="147" t="s">
        <v>244</v>
      </c>
      <c r="E1437" s="147" t="s">
        <v>218</v>
      </c>
      <c r="F1437" s="149">
        <v>239.44310689059691</v>
      </c>
      <c r="G1437" s="148" t="s">
        <v>219</v>
      </c>
    </row>
    <row r="1438" spans="1:7">
      <c r="A1438" s="147">
        <v>2019</v>
      </c>
      <c r="B1438" s="147" t="s">
        <v>270</v>
      </c>
      <c r="C1438" s="148" t="s">
        <v>133</v>
      </c>
      <c r="D1438" s="147" t="s">
        <v>244</v>
      </c>
      <c r="E1438" s="147" t="s">
        <v>218</v>
      </c>
      <c r="F1438" s="149">
        <v>249.4051258536681</v>
      </c>
      <c r="G1438" s="148" t="s">
        <v>219</v>
      </c>
    </row>
    <row r="1439" spans="1:7">
      <c r="A1439" s="147">
        <v>2020</v>
      </c>
      <c r="B1439" s="147" t="s">
        <v>270</v>
      </c>
      <c r="C1439" s="148" t="s">
        <v>133</v>
      </c>
      <c r="D1439" s="147" t="s">
        <v>244</v>
      </c>
      <c r="E1439" s="147" t="s">
        <v>218</v>
      </c>
      <c r="F1439" s="149">
        <v>248.74890002859851</v>
      </c>
      <c r="G1439" s="148" t="s">
        <v>219</v>
      </c>
    </row>
    <row r="1440" spans="1:7">
      <c r="A1440" s="147">
        <v>2021</v>
      </c>
      <c r="B1440" s="147" t="s">
        <v>270</v>
      </c>
      <c r="C1440" s="148" t="s">
        <v>133</v>
      </c>
      <c r="D1440" s="147" t="s">
        <v>244</v>
      </c>
      <c r="E1440" s="147" t="s">
        <v>218</v>
      </c>
      <c r="F1440" s="149">
        <v>269.45587171129893</v>
      </c>
      <c r="G1440" s="148" t="s">
        <v>219</v>
      </c>
    </row>
    <row r="1441" spans="1:7">
      <c r="A1441" s="147">
        <v>2022</v>
      </c>
      <c r="B1441" s="147" t="s">
        <v>270</v>
      </c>
      <c r="C1441" s="148" t="s">
        <v>133</v>
      </c>
      <c r="D1441" s="147" t="s">
        <v>244</v>
      </c>
      <c r="E1441" s="147" t="s">
        <v>218</v>
      </c>
      <c r="F1441" s="149">
        <v>272.4979357393604</v>
      </c>
      <c r="G1441" s="148" t="s">
        <v>219</v>
      </c>
    </row>
    <row r="1442" spans="1:7">
      <c r="A1442" s="147" t="s">
        <v>185</v>
      </c>
      <c r="B1442" s="147" t="s">
        <v>270</v>
      </c>
      <c r="C1442" s="148" t="s">
        <v>133</v>
      </c>
      <c r="D1442" s="147" t="s">
        <v>244</v>
      </c>
      <c r="E1442" s="147" t="s">
        <v>218</v>
      </c>
      <c r="F1442" s="149">
        <v>318.68725510509177</v>
      </c>
      <c r="G1442" s="148" t="s">
        <v>219</v>
      </c>
    </row>
    <row r="1443" spans="1:7">
      <c r="A1443" s="147" t="s">
        <v>107</v>
      </c>
      <c r="B1443" s="147" t="s">
        <v>270</v>
      </c>
      <c r="C1443" s="148" t="s">
        <v>133</v>
      </c>
      <c r="D1443" s="147" t="s">
        <v>244</v>
      </c>
      <c r="E1443" s="147" t="s">
        <v>218</v>
      </c>
      <c r="F1443" s="149">
        <v>325.10434832740174</v>
      </c>
      <c r="G1443" s="148" t="s">
        <v>219</v>
      </c>
    </row>
    <row r="1444" spans="1:7">
      <c r="A1444" s="147">
        <v>2018</v>
      </c>
      <c r="B1444" s="147" t="s">
        <v>270</v>
      </c>
      <c r="C1444" s="148" t="s">
        <v>133</v>
      </c>
      <c r="D1444" s="147" t="s">
        <v>249</v>
      </c>
      <c r="E1444" s="147" t="s">
        <v>218</v>
      </c>
      <c r="F1444" s="149">
        <v>775.25321268901757</v>
      </c>
      <c r="G1444" s="148" t="s">
        <v>219</v>
      </c>
    </row>
    <row r="1445" spans="1:7">
      <c r="A1445" s="147">
        <v>2019</v>
      </c>
      <c r="B1445" s="147" t="s">
        <v>270</v>
      </c>
      <c r="C1445" s="148" t="s">
        <v>133</v>
      </c>
      <c r="D1445" s="147" t="s">
        <v>249</v>
      </c>
      <c r="E1445" s="147" t="s">
        <v>218</v>
      </c>
      <c r="F1445" s="149">
        <v>807.03988298341574</v>
      </c>
      <c r="G1445" s="148" t="s">
        <v>219</v>
      </c>
    </row>
    <row r="1446" spans="1:7">
      <c r="A1446" s="147">
        <v>2020</v>
      </c>
      <c r="B1446" s="147" t="s">
        <v>270</v>
      </c>
      <c r="C1446" s="148" t="s">
        <v>133</v>
      </c>
      <c r="D1446" s="147" t="s">
        <v>249</v>
      </c>
      <c r="E1446" s="147" t="s">
        <v>218</v>
      </c>
      <c r="F1446" s="149">
        <v>729.79025367602492</v>
      </c>
      <c r="G1446" s="148" t="s">
        <v>219</v>
      </c>
    </row>
    <row r="1447" spans="1:7">
      <c r="A1447" s="147">
        <v>2021</v>
      </c>
      <c r="B1447" s="147" t="s">
        <v>270</v>
      </c>
      <c r="C1447" s="148" t="s">
        <v>133</v>
      </c>
      <c r="D1447" s="147" t="s">
        <v>249</v>
      </c>
      <c r="E1447" s="147" t="s">
        <v>218</v>
      </c>
      <c r="F1447" s="149">
        <v>834.2393636241269</v>
      </c>
      <c r="G1447" s="148" t="s">
        <v>219</v>
      </c>
    </row>
    <row r="1448" spans="1:7">
      <c r="A1448" s="147">
        <v>2022</v>
      </c>
      <c r="B1448" s="147" t="s">
        <v>270</v>
      </c>
      <c r="C1448" s="148" t="s">
        <v>133</v>
      </c>
      <c r="D1448" s="147" t="s">
        <v>249</v>
      </c>
      <c r="E1448" s="147" t="s">
        <v>218</v>
      </c>
      <c r="F1448" s="149">
        <v>907.51349457873107</v>
      </c>
      <c r="G1448" s="148" t="s">
        <v>219</v>
      </c>
    </row>
    <row r="1449" spans="1:7">
      <c r="A1449" s="147" t="s">
        <v>185</v>
      </c>
      <c r="B1449" s="147" t="s">
        <v>270</v>
      </c>
      <c r="C1449" s="148" t="s">
        <v>133</v>
      </c>
      <c r="D1449" s="147" t="s">
        <v>249</v>
      </c>
      <c r="E1449" s="147" t="s">
        <v>218</v>
      </c>
      <c r="F1449" s="149">
        <v>918.09256048577367</v>
      </c>
      <c r="G1449" s="148" t="s">
        <v>219</v>
      </c>
    </row>
    <row r="1450" spans="1:7">
      <c r="A1450" s="147" t="s">
        <v>107</v>
      </c>
      <c r="B1450" s="147" t="s">
        <v>270</v>
      </c>
      <c r="C1450" s="148" t="s">
        <v>133</v>
      </c>
      <c r="D1450" s="147" t="s">
        <v>249</v>
      </c>
      <c r="E1450" s="147" t="s">
        <v>218</v>
      </c>
      <c r="F1450" s="149">
        <v>1038.2645663114329</v>
      </c>
      <c r="G1450" s="148" t="s">
        <v>219</v>
      </c>
    </row>
    <row r="1451" spans="1:7">
      <c r="A1451" s="147">
        <v>2018</v>
      </c>
      <c r="B1451" s="147" t="s">
        <v>270</v>
      </c>
      <c r="C1451" s="148" t="s">
        <v>133</v>
      </c>
      <c r="D1451" s="147" t="s">
        <v>254</v>
      </c>
      <c r="E1451" s="147" t="s">
        <v>218</v>
      </c>
      <c r="F1451" s="149">
        <v>716.18464352428941</v>
      </c>
      <c r="G1451" s="148" t="s">
        <v>219</v>
      </c>
    </row>
    <row r="1452" spans="1:7">
      <c r="A1452" s="147">
        <v>2019</v>
      </c>
      <c r="B1452" s="147" t="s">
        <v>270</v>
      </c>
      <c r="C1452" s="148" t="s">
        <v>133</v>
      </c>
      <c r="D1452" s="147" t="s">
        <v>254</v>
      </c>
      <c r="E1452" s="147" t="s">
        <v>218</v>
      </c>
      <c r="F1452" s="149">
        <v>890.30269824538379</v>
      </c>
      <c r="G1452" s="148" t="s">
        <v>219</v>
      </c>
    </row>
    <row r="1453" spans="1:7">
      <c r="A1453" s="147">
        <v>2020</v>
      </c>
      <c r="B1453" s="147" t="s">
        <v>270</v>
      </c>
      <c r="C1453" s="148" t="s">
        <v>133</v>
      </c>
      <c r="D1453" s="147" t="s">
        <v>254</v>
      </c>
      <c r="E1453" s="147" t="s">
        <v>218</v>
      </c>
      <c r="F1453" s="149">
        <v>756.73923563175981</v>
      </c>
      <c r="G1453" s="148" t="s">
        <v>219</v>
      </c>
    </row>
    <row r="1454" spans="1:7">
      <c r="A1454" s="147">
        <v>2021</v>
      </c>
      <c r="B1454" s="147" t="s">
        <v>270</v>
      </c>
      <c r="C1454" s="148" t="s">
        <v>133</v>
      </c>
      <c r="D1454" s="147" t="s">
        <v>254</v>
      </c>
      <c r="E1454" s="147" t="s">
        <v>218</v>
      </c>
      <c r="F1454" s="149">
        <v>849.0170320966796</v>
      </c>
      <c r="G1454" s="148" t="s">
        <v>219</v>
      </c>
    </row>
    <row r="1455" spans="1:7">
      <c r="A1455" s="147">
        <v>2022</v>
      </c>
      <c r="B1455" s="147" t="s">
        <v>270</v>
      </c>
      <c r="C1455" s="148" t="s">
        <v>133</v>
      </c>
      <c r="D1455" s="147" t="s">
        <v>254</v>
      </c>
      <c r="E1455" s="147" t="s">
        <v>218</v>
      </c>
      <c r="F1455" s="149">
        <v>931.24823307148608</v>
      </c>
      <c r="G1455" s="148" t="s">
        <v>219</v>
      </c>
    </row>
    <row r="1456" spans="1:7">
      <c r="A1456" s="147" t="s">
        <v>185</v>
      </c>
      <c r="B1456" s="147" t="s">
        <v>270</v>
      </c>
      <c r="C1456" s="148" t="s">
        <v>133</v>
      </c>
      <c r="D1456" s="147" t="s">
        <v>254</v>
      </c>
      <c r="E1456" s="147" t="s">
        <v>218</v>
      </c>
      <c r="F1456" s="149">
        <v>877.77778389244804</v>
      </c>
      <c r="G1456" s="148" t="s">
        <v>219</v>
      </c>
    </row>
    <row r="1457" spans="1:7">
      <c r="A1457" s="147" t="s">
        <v>107</v>
      </c>
      <c r="B1457" s="147" t="s">
        <v>270</v>
      </c>
      <c r="C1457" s="148" t="s">
        <v>133</v>
      </c>
      <c r="D1457" s="147" t="s">
        <v>254</v>
      </c>
      <c r="E1457" s="147" t="s">
        <v>218</v>
      </c>
      <c r="F1457" s="149">
        <v>1007.3082966291034</v>
      </c>
      <c r="G1457" s="148" t="s">
        <v>219</v>
      </c>
    </row>
    <row r="1458" spans="1:7">
      <c r="A1458" s="147">
        <v>2018</v>
      </c>
      <c r="B1458" s="147" t="s">
        <v>270</v>
      </c>
      <c r="C1458" s="148" t="s">
        <v>133</v>
      </c>
      <c r="D1458" s="147" t="s">
        <v>259</v>
      </c>
      <c r="E1458" s="147" t="s">
        <v>218</v>
      </c>
      <c r="F1458" s="149">
        <v>40292.867705261029</v>
      </c>
      <c r="G1458" s="148" t="s">
        <v>219</v>
      </c>
    </row>
    <row r="1459" spans="1:7">
      <c r="A1459" s="147">
        <v>2019</v>
      </c>
      <c r="B1459" s="147" t="s">
        <v>270</v>
      </c>
      <c r="C1459" s="148" t="s">
        <v>133</v>
      </c>
      <c r="D1459" s="147" t="s">
        <v>259</v>
      </c>
      <c r="E1459" s="147" t="s">
        <v>218</v>
      </c>
      <c r="F1459" s="149">
        <v>41076.964458403367</v>
      </c>
      <c r="G1459" s="148" t="s">
        <v>219</v>
      </c>
    </row>
    <row r="1460" spans="1:7">
      <c r="A1460" s="147">
        <v>2020</v>
      </c>
      <c r="B1460" s="147" t="s">
        <v>270</v>
      </c>
      <c r="C1460" s="148" t="s">
        <v>133</v>
      </c>
      <c r="D1460" s="147" t="s">
        <v>259</v>
      </c>
      <c r="E1460" s="147" t="s">
        <v>218</v>
      </c>
      <c r="F1460" s="149">
        <v>32358.685560287253</v>
      </c>
      <c r="G1460" s="148" t="s">
        <v>219</v>
      </c>
    </row>
    <row r="1461" spans="1:7">
      <c r="A1461" s="147">
        <v>2021</v>
      </c>
      <c r="B1461" s="147" t="s">
        <v>270</v>
      </c>
      <c r="C1461" s="148" t="s">
        <v>133</v>
      </c>
      <c r="D1461" s="147" t="s">
        <v>259</v>
      </c>
      <c r="E1461" s="147" t="s">
        <v>218</v>
      </c>
      <c r="F1461" s="149">
        <v>37620.691377709096</v>
      </c>
      <c r="G1461" s="148" t="s">
        <v>219</v>
      </c>
    </row>
    <row r="1462" spans="1:7">
      <c r="A1462" s="147">
        <v>2022</v>
      </c>
      <c r="B1462" s="147" t="s">
        <v>270</v>
      </c>
      <c r="C1462" s="148" t="s">
        <v>133</v>
      </c>
      <c r="D1462" s="147" t="s">
        <v>259</v>
      </c>
      <c r="E1462" s="147" t="s">
        <v>218</v>
      </c>
      <c r="F1462" s="149">
        <v>41806.893363845236</v>
      </c>
      <c r="G1462" s="148" t="s">
        <v>219</v>
      </c>
    </row>
    <row r="1463" spans="1:7">
      <c r="A1463" s="147" t="s">
        <v>185</v>
      </c>
      <c r="B1463" s="147" t="s">
        <v>270</v>
      </c>
      <c r="C1463" s="148" t="s">
        <v>133</v>
      </c>
      <c r="D1463" s="147" t="s">
        <v>259</v>
      </c>
      <c r="E1463" s="147" t="s">
        <v>218</v>
      </c>
      <c r="F1463" s="149">
        <v>46439.115186568888</v>
      </c>
      <c r="G1463" s="148" t="s">
        <v>219</v>
      </c>
    </row>
    <row r="1464" spans="1:7">
      <c r="A1464" s="147" t="s">
        <v>107</v>
      </c>
      <c r="B1464" s="147" t="s">
        <v>270</v>
      </c>
      <c r="C1464" s="148" t="s">
        <v>133</v>
      </c>
      <c r="D1464" s="147" t="s">
        <v>259</v>
      </c>
      <c r="E1464" s="147" t="s">
        <v>218</v>
      </c>
      <c r="F1464" s="149">
        <v>48758.348309249363</v>
      </c>
      <c r="G1464" s="148" t="s">
        <v>219</v>
      </c>
    </row>
    <row r="1465" spans="1:7">
      <c r="A1465" s="147">
        <v>2018</v>
      </c>
      <c r="B1465" s="147" t="s">
        <v>270</v>
      </c>
      <c r="C1465" s="148" t="s">
        <v>133</v>
      </c>
      <c r="D1465" s="147" t="s">
        <v>269</v>
      </c>
      <c r="E1465" s="147" t="s">
        <v>218</v>
      </c>
      <c r="F1465" s="149">
        <v>6139.7846957090223</v>
      </c>
      <c r="G1465" s="148" t="s">
        <v>219</v>
      </c>
    </row>
    <row r="1466" spans="1:7">
      <c r="A1466" s="147">
        <v>2019</v>
      </c>
      <c r="B1466" s="147" t="s">
        <v>270</v>
      </c>
      <c r="C1466" s="148" t="s">
        <v>133</v>
      </c>
      <c r="D1466" s="147" t="s">
        <v>269</v>
      </c>
      <c r="E1466" s="147" t="s">
        <v>218</v>
      </c>
      <c r="F1466" s="149">
        <v>7033.424363567764</v>
      </c>
      <c r="G1466" s="148" t="s">
        <v>219</v>
      </c>
    </row>
    <row r="1467" spans="1:7">
      <c r="A1467" s="147">
        <v>2020</v>
      </c>
      <c r="B1467" s="147" t="s">
        <v>270</v>
      </c>
      <c r="C1467" s="148" t="s">
        <v>133</v>
      </c>
      <c r="D1467" s="147" t="s">
        <v>269</v>
      </c>
      <c r="E1467" s="147" t="s">
        <v>218</v>
      </c>
      <c r="F1467" s="149">
        <v>6053.690921184234</v>
      </c>
      <c r="G1467" s="148" t="s">
        <v>219</v>
      </c>
    </row>
    <row r="1468" spans="1:7">
      <c r="A1468" s="147">
        <v>2021</v>
      </c>
      <c r="B1468" s="147" t="s">
        <v>270</v>
      </c>
      <c r="C1468" s="148" t="s">
        <v>133</v>
      </c>
      <c r="D1468" s="147" t="s">
        <v>269</v>
      </c>
      <c r="E1468" s="147" t="s">
        <v>218</v>
      </c>
      <c r="F1468" s="149">
        <v>6813.5673938295749</v>
      </c>
      <c r="G1468" s="148" t="s">
        <v>219</v>
      </c>
    </row>
    <row r="1469" spans="1:7">
      <c r="A1469" s="147">
        <v>2022</v>
      </c>
      <c r="B1469" s="147" t="s">
        <v>270</v>
      </c>
      <c r="C1469" s="148" t="s">
        <v>133</v>
      </c>
      <c r="D1469" s="147" t="s">
        <v>269</v>
      </c>
      <c r="E1469" s="147" t="s">
        <v>218</v>
      </c>
      <c r="F1469" s="149">
        <v>7551.4637552564955</v>
      </c>
      <c r="G1469" s="148" t="s">
        <v>219</v>
      </c>
    </row>
    <row r="1470" spans="1:7">
      <c r="A1470" s="147" t="s">
        <v>185</v>
      </c>
      <c r="B1470" s="147" t="s">
        <v>270</v>
      </c>
      <c r="C1470" s="148" t="s">
        <v>133</v>
      </c>
      <c r="D1470" s="147" t="s">
        <v>269</v>
      </c>
      <c r="E1470" s="147" t="s">
        <v>218</v>
      </c>
      <c r="F1470" s="149">
        <v>8649.6593922623488</v>
      </c>
      <c r="G1470" s="148" t="s">
        <v>219</v>
      </c>
    </row>
    <row r="1471" spans="1:7">
      <c r="A1471" s="147" t="s">
        <v>107</v>
      </c>
      <c r="B1471" s="147" t="s">
        <v>270</v>
      </c>
      <c r="C1471" s="148" t="s">
        <v>133</v>
      </c>
      <c r="D1471" s="147" t="s">
        <v>269</v>
      </c>
      <c r="E1471" s="147" t="s">
        <v>218</v>
      </c>
      <c r="F1471" s="149">
        <v>10686.52401872818</v>
      </c>
      <c r="G1471" s="148" t="s">
        <v>219</v>
      </c>
    </row>
    <row r="1472" spans="1:7">
      <c r="A1472" s="147">
        <v>2018</v>
      </c>
      <c r="B1472" s="147" t="s">
        <v>270</v>
      </c>
      <c r="C1472" s="148" t="s">
        <v>133</v>
      </c>
      <c r="D1472" s="147" t="s">
        <v>264</v>
      </c>
      <c r="E1472" s="147" t="s">
        <v>218</v>
      </c>
      <c r="F1472" s="149">
        <v>1785.8464657293653</v>
      </c>
      <c r="G1472" s="148" t="s">
        <v>219</v>
      </c>
    </row>
    <row r="1473" spans="1:7">
      <c r="A1473" s="147">
        <v>2019</v>
      </c>
      <c r="B1473" s="147" t="s">
        <v>270</v>
      </c>
      <c r="C1473" s="148" t="s">
        <v>133</v>
      </c>
      <c r="D1473" s="147" t="s">
        <v>264</v>
      </c>
      <c r="E1473" s="147" t="s">
        <v>218</v>
      </c>
      <c r="F1473" s="149">
        <v>1764.099996278452</v>
      </c>
      <c r="G1473" s="148" t="s">
        <v>219</v>
      </c>
    </row>
    <row r="1474" spans="1:7">
      <c r="A1474" s="147">
        <v>2020</v>
      </c>
      <c r="B1474" s="147" t="s">
        <v>270</v>
      </c>
      <c r="C1474" s="148" t="s">
        <v>133</v>
      </c>
      <c r="D1474" s="147" t="s">
        <v>264</v>
      </c>
      <c r="E1474" s="147" t="s">
        <v>218</v>
      </c>
      <c r="F1474" s="149">
        <v>1596.1777154331687</v>
      </c>
      <c r="G1474" s="148" t="s">
        <v>219</v>
      </c>
    </row>
    <row r="1475" spans="1:7">
      <c r="A1475" s="147">
        <v>2021</v>
      </c>
      <c r="B1475" s="147" t="s">
        <v>270</v>
      </c>
      <c r="C1475" s="148" t="s">
        <v>133</v>
      </c>
      <c r="D1475" s="147" t="s">
        <v>264</v>
      </c>
      <c r="E1475" s="147" t="s">
        <v>218</v>
      </c>
      <c r="F1475" s="149">
        <v>1862.870633343091</v>
      </c>
      <c r="G1475" s="148" t="s">
        <v>219</v>
      </c>
    </row>
    <row r="1476" spans="1:7">
      <c r="A1476" s="147">
        <v>2022</v>
      </c>
      <c r="B1476" s="147" t="s">
        <v>270</v>
      </c>
      <c r="C1476" s="148" t="s">
        <v>133</v>
      </c>
      <c r="D1476" s="147" t="s">
        <v>264</v>
      </c>
      <c r="E1476" s="147" t="s">
        <v>218</v>
      </c>
      <c r="F1476" s="149">
        <v>1981.489338877936</v>
      </c>
      <c r="G1476" s="148" t="s">
        <v>219</v>
      </c>
    </row>
    <row r="1477" spans="1:7">
      <c r="A1477" s="147" t="s">
        <v>185</v>
      </c>
      <c r="B1477" s="147" t="s">
        <v>270</v>
      </c>
      <c r="C1477" s="148" t="s">
        <v>133</v>
      </c>
      <c r="D1477" s="147" t="s">
        <v>264</v>
      </c>
      <c r="E1477" s="147" t="s">
        <v>218</v>
      </c>
      <c r="F1477" s="149">
        <v>2023.9424069488732</v>
      </c>
      <c r="G1477" s="148" t="s">
        <v>219</v>
      </c>
    </row>
    <row r="1478" spans="1:7">
      <c r="A1478" s="147" t="s">
        <v>107</v>
      </c>
      <c r="B1478" s="147" t="s">
        <v>270</v>
      </c>
      <c r="C1478" s="148" t="s">
        <v>133</v>
      </c>
      <c r="D1478" s="147" t="s">
        <v>264</v>
      </c>
      <c r="E1478" s="147" t="s">
        <v>218</v>
      </c>
      <c r="F1478" s="149">
        <v>2123.8827711506492</v>
      </c>
      <c r="G1478" s="148" t="s">
        <v>219</v>
      </c>
    </row>
    <row r="1479" spans="1:7">
      <c r="A1479" s="147">
        <v>2018</v>
      </c>
      <c r="B1479" s="147" t="s">
        <v>270</v>
      </c>
      <c r="C1479" s="148" t="s">
        <v>133</v>
      </c>
      <c r="D1479" s="147" t="s">
        <v>136</v>
      </c>
      <c r="E1479" s="147" t="s">
        <v>218</v>
      </c>
      <c r="F1479" s="149">
        <v>67316.471181248737</v>
      </c>
      <c r="G1479" s="148" t="s">
        <v>219</v>
      </c>
    </row>
    <row r="1480" spans="1:7">
      <c r="A1480" s="147">
        <v>2019</v>
      </c>
      <c r="B1480" s="147" t="s">
        <v>270</v>
      </c>
      <c r="C1480" s="148" t="s">
        <v>133</v>
      </c>
      <c r="D1480" s="147" t="s">
        <v>136</v>
      </c>
      <c r="E1480" s="147" t="s">
        <v>218</v>
      </c>
      <c r="F1480" s="149">
        <v>69405.347011915917</v>
      </c>
      <c r="G1480" s="148" t="s">
        <v>219</v>
      </c>
    </row>
    <row r="1481" spans="1:7">
      <c r="A1481" s="147">
        <v>2020</v>
      </c>
      <c r="B1481" s="147" t="s">
        <v>270</v>
      </c>
      <c r="C1481" s="148" t="s">
        <v>133</v>
      </c>
      <c r="D1481" s="147" t="s">
        <v>136</v>
      </c>
      <c r="E1481" s="147" t="s">
        <v>218</v>
      </c>
      <c r="F1481" s="149">
        <v>57036.460526150018</v>
      </c>
      <c r="G1481" s="148" t="s">
        <v>219</v>
      </c>
    </row>
    <row r="1482" spans="1:7">
      <c r="A1482" s="147">
        <v>2021</v>
      </c>
      <c r="B1482" s="147" t="s">
        <v>270</v>
      </c>
      <c r="C1482" s="148" t="s">
        <v>133</v>
      </c>
      <c r="D1482" s="147" t="s">
        <v>136</v>
      </c>
      <c r="E1482" s="147" t="s">
        <v>218</v>
      </c>
      <c r="F1482" s="149">
        <v>66428.725696955502</v>
      </c>
      <c r="G1482" s="148" t="s">
        <v>219</v>
      </c>
    </row>
    <row r="1483" spans="1:7">
      <c r="A1483" s="147">
        <v>2022</v>
      </c>
      <c r="B1483" s="147" t="s">
        <v>270</v>
      </c>
      <c r="C1483" s="148" t="s">
        <v>133</v>
      </c>
      <c r="D1483" s="147" t="s">
        <v>136</v>
      </c>
      <c r="E1483" s="147" t="s">
        <v>218</v>
      </c>
      <c r="F1483" s="149">
        <v>73761.492154047432</v>
      </c>
      <c r="G1483" s="148" t="s">
        <v>219</v>
      </c>
    </row>
    <row r="1484" spans="1:7">
      <c r="A1484" s="147" t="s">
        <v>185</v>
      </c>
      <c r="B1484" s="147" t="s">
        <v>270</v>
      </c>
      <c r="C1484" s="148" t="s">
        <v>133</v>
      </c>
      <c r="D1484" s="147" t="s">
        <v>136</v>
      </c>
      <c r="E1484" s="147" t="s">
        <v>218</v>
      </c>
      <c r="F1484" s="149">
        <v>79047.483697155621</v>
      </c>
      <c r="G1484" s="148" t="s">
        <v>219</v>
      </c>
    </row>
    <row r="1485" spans="1:7">
      <c r="A1485" s="147" t="s">
        <v>107</v>
      </c>
      <c r="B1485" s="147" t="s">
        <v>270</v>
      </c>
      <c r="C1485" s="148" t="s">
        <v>133</v>
      </c>
      <c r="D1485" s="147" t="s">
        <v>136</v>
      </c>
      <c r="E1485" s="147" t="s">
        <v>218</v>
      </c>
      <c r="F1485" s="149">
        <v>81219.618004584117</v>
      </c>
      <c r="G1485" s="148" t="s">
        <v>219</v>
      </c>
    </row>
    <row r="1486" spans="1:7">
      <c r="A1486" s="147">
        <v>2018</v>
      </c>
      <c r="B1486" s="147" t="s">
        <v>270</v>
      </c>
      <c r="C1486" s="148" t="s">
        <v>133</v>
      </c>
      <c r="D1486" s="147" t="s">
        <v>272</v>
      </c>
      <c r="E1486" s="147" t="s">
        <v>218</v>
      </c>
      <c r="F1486" s="149">
        <v>5096.85095672239</v>
      </c>
      <c r="G1486" s="148" t="s">
        <v>219</v>
      </c>
    </row>
    <row r="1487" spans="1:7">
      <c r="A1487" s="147">
        <v>2019</v>
      </c>
      <c r="B1487" s="147" t="s">
        <v>270</v>
      </c>
      <c r="C1487" s="148" t="s">
        <v>133</v>
      </c>
      <c r="D1487" s="147" t="s">
        <v>272</v>
      </c>
      <c r="E1487" s="147" t="s">
        <v>218</v>
      </c>
      <c r="F1487" s="149">
        <v>5017.4632631931909</v>
      </c>
      <c r="G1487" s="148" t="s">
        <v>219</v>
      </c>
    </row>
    <row r="1488" spans="1:7">
      <c r="A1488" s="147">
        <v>2020</v>
      </c>
      <c r="B1488" s="147" t="s">
        <v>270</v>
      </c>
      <c r="C1488" s="148" t="s">
        <v>133</v>
      </c>
      <c r="D1488" s="147" t="s">
        <v>272</v>
      </c>
      <c r="E1488" s="147" t="s">
        <v>218</v>
      </c>
      <c r="F1488" s="149">
        <v>5226.1862932897611</v>
      </c>
      <c r="G1488" s="148" t="s">
        <v>219</v>
      </c>
    </row>
    <row r="1489" spans="1:7">
      <c r="A1489" s="147">
        <v>2021</v>
      </c>
      <c r="B1489" s="147" t="s">
        <v>270</v>
      </c>
      <c r="C1489" s="148" t="s">
        <v>133</v>
      </c>
      <c r="D1489" s="147" t="s">
        <v>272</v>
      </c>
      <c r="E1489" s="147" t="s">
        <v>218</v>
      </c>
      <c r="F1489" s="149">
        <v>5814.1361740225057</v>
      </c>
      <c r="G1489" s="148" t="s">
        <v>219</v>
      </c>
    </row>
    <row r="1490" spans="1:7">
      <c r="A1490" s="147">
        <v>2022</v>
      </c>
      <c r="B1490" s="147" t="s">
        <v>270</v>
      </c>
      <c r="C1490" s="148" t="s">
        <v>133</v>
      </c>
      <c r="D1490" s="147" t="s">
        <v>272</v>
      </c>
      <c r="E1490" s="147" t="s">
        <v>218</v>
      </c>
      <c r="F1490" s="149">
        <v>5760.5702299445429</v>
      </c>
      <c r="G1490" s="148" t="s">
        <v>219</v>
      </c>
    </row>
    <row r="1491" spans="1:7">
      <c r="A1491" s="147" t="s">
        <v>185</v>
      </c>
      <c r="B1491" s="147" t="s">
        <v>270</v>
      </c>
      <c r="C1491" s="148" t="s">
        <v>133</v>
      </c>
      <c r="D1491" s="147" t="s">
        <v>272</v>
      </c>
      <c r="E1491" s="147" t="s">
        <v>218</v>
      </c>
      <c r="F1491" s="149">
        <v>5753.4405031826273</v>
      </c>
      <c r="G1491" s="148" t="s">
        <v>219</v>
      </c>
    </row>
    <row r="1492" spans="1:7">
      <c r="A1492" s="147" t="s">
        <v>107</v>
      </c>
      <c r="B1492" s="147" t="s">
        <v>270</v>
      </c>
      <c r="C1492" s="148" t="s">
        <v>133</v>
      </c>
      <c r="D1492" s="147" t="s">
        <v>272</v>
      </c>
      <c r="E1492" s="147" t="s">
        <v>218</v>
      </c>
      <c r="F1492" s="149">
        <v>5952.2406044106792</v>
      </c>
      <c r="G1492" s="148" t="s">
        <v>219</v>
      </c>
    </row>
    <row r="1493" spans="1:7">
      <c r="A1493" s="147">
        <v>2018</v>
      </c>
      <c r="B1493" s="147" t="s">
        <v>270</v>
      </c>
      <c r="C1493" s="148" t="s">
        <v>133</v>
      </c>
      <c r="D1493" s="147" t="s">
        <v>273</v>
      </c>
      <c r="E1493" s="147" t="s">
        <v>218</v>
      </c>
      <c r="F1493" s="149">
        <v>8338.9231264038772</v>
      </c>
      <c r="G1493" s="148" t="s">
        <v>219</v>
      </c>
    </row>
    <row r="1494" spans="1:7">
      <c r="A1494" s="147">
        <v>2019</v>
      </c>
      <c r="B1494" s="147" t="s">
        <v>270</v>
      </c>
      <c r="C1494" s="148" t="s">
        <v>133</v>
      </c>
      <c r="D1494" s="147" t="s">
        <v>273</v>
      </c>
      <c r="E1494" s="147" t="s">
        <v>218</v>
      </c>
      <c r="F1494" s="149">
        <v>8002.1478743146454</v>
      </c>
      <c r="G1494" s="148" t="s">
        <v>219</v>
      </c>
    </row>
    <row r="1495" spans="1:7">
      <c r="A1495" s="147">
        <v>2020</v>
      </c>
      <c r="B1495" s="147" t="s">
        <v>270</v>
      </c>
      <c r="C1495" s="148" t="s">
        <v>133</v>
      </c>
      <c r="D1495" s="147" t="s">
        <v>273</v>
      </c>
      <c r="E1495" s="147" t="s">
        <v>218</v>
      </c>
      <c r="F1495" s="149">
        <v>6339.8913780536668</v>
      </c>
      <c r="G1495" s="148" t="s">
        <v>219</v>
      </c>
    </row>
    <row r="1496" spans="1:7">
      <c r="A1496" s="147">
        <v>2021</v>
      </c>
      <c r="B1496" s="147" t="s">
        <v>270</v>
      </c>
      <c r="C1496" s="148" t="s">
        <v>133</v>
      </c>
      <c r="D1496" s="147" t="s">
        <v>273</v>
      </c>
      <c r="E1496" s="147" t="s">
        <v>218</v>
      </c>
      <c r="F1496" s="149">
        <v>7863.6747153128335</v>
      </c>
      <c r="G1496" s="148" t="s">
        <v>219</v>
      </c>
    </row>
    <row r="1497" spans="1:7">
      <c r="A1497" s="147">
        <v>2022</v>
      </c>
      <c r="B1497" s="147" t="s">
        <v>270</v>
      </c>
      <c r="C1497" s="148" t="s">
        <v>133</v>
      </c>
      <c r="D1497" s="147" t="s">
        <v>273</v>
      </c>
      <c r="E1497" s="147" t="s">
        <v>218</v>
      </c>
      <c r="F1497" s="149">
        <v>8237.6559813488275</v>
      </c>
      <c r="G1497" s="148" t="s">
        <v>219</v>
      </c>
    </row>
    <row r="1498" spans="1:7">
      <c r="A1498" s="147" t="s">
        <v>185</v>
      </c>
      <c r="B1498" s="147" t="s">
        <v>270</v>
      </c>
      <c r="C1498" s="148" t="s">
        <v>133</v>
      </c>
      <c r="D1498" s="147" t="s">
        <v>273</v>
      </c>
      <c r="E1498" s="147" t="s">
        <v>218</v>
      </c>
      <c r="F1498" s="149">
        <v>8337.5703619135293</v>
      </c>
      <c r="G1498" s="148" t="s">
        <v>219</v>
      </c>
    </row>
    <row r="1499" spans="1:7">
      <c r="A1499" s="147" t="s">
        <v>107</v>
      </c>
      <c r="B1499" s="147" t="s">
        <v>270</v>
      </c>
      <c r="C1499" s="148" t="s">
        <v>133</v>
      </c>
      <c r="D1499" s="147" t="s">
        <v>273</v>
      </c>
      <c r="E1499" s="147" t="s">
        <v>218</v>
      </c>
      <c r="F1499" s="149">
        <v>8784.7462026224894</v>
      </c>
      <c r="G1499" s="148" t="s">
        <v>219</v>
      </c>
    </row>
    <row r="1500" spans="1:7">
      <c r="A1500" s="147">
        <v>2018</v>
      </c>
      <c r="B1500" s="147" t="s">
        <v>270</v>
      </c>
      <c r="C1500" s="148" t="s">
        <v>133</v>
      </c>
      <c r="D1500" s="147" t="s">
        <v>274</v>
      </c>
      <c r="E1500" s="147" t="s">
        <v>218</v>
      </c>
      <c r="F1500" s="149">
        <v>31121.884273823933</v>
      </c>
      <c r="G1500" s="148" t="s">
        <v>219</v>
      </c>
    </row>
    <row r="1501" spans="1:7">
      <c r="A1501" s="147">
        <v>2019</v>
      </c>
      <c r="B1501" s="147" t="s">
        <v>270</v>
      </c>
      <c r="C1501" s="148" t="s">
        <v>133</v>
      </c>
      <c r="D1501" s="147" t="s">
        <v>274</v>
      </c>
      <c r="E1501" s="147" t="s">
        <v>218</v>
      </c>
      <c r="F1501" s="149">
        <v>30817.000665085616</v>
      </c>
      <c r="G1501" s="148" t="s">
        <v>219</v>
      </c>
    </row>
    <row r="1502" spans="1:7">
      <c r="A1502" s="147">
        <v>2020</v>
      </c>
      <c r="B1502" s="147" t="s">
        <v>270</v>
      </c>
      <c r="C1502" s="148" t="s">
        <v>133</v>
      </c>
      <c r="D1502" s="147" t="s">
        <v>274</v>
      </c>
      <c r="E1502" s="147" t="s">
        <v>218</v>
      </c>
      <c r="F1502" s="149">
        <v>26300.417133705392</v>
      </c>
      <c r="G1502" s="148" t="s">
        <v>219</v>
      </c>
    </row>
    <row r="1503" spans="1:7">
      <c r="A1503" s="147">
        <v>2021</v>
      </c>
      <c r="B1503" s="147" t="s">
        <v>270</v>
      </c>
      <c r="C1503" s="148" t="s">
        <v>133</v>
      </c>
      <c r="D1503" s="147" t="s">
        <v>274</v>
      </c>
      <c r="E1503" s="147" t="s">
        <v>218</v>
      </c>
      <c r="F1503" s="149">
        <v>30422.863251070012</v>
      </c>
      <c r="G1503" s="148" t="s">
        <v>219</v>
      </c>
    </row>
    <row r="1504" spans="1:7">
      <c r="A1504" s="147">
        <v>2022</v>
      </c>
      <c r="B1504" s="147" t="s">
        <v>270</v>
      </c>
      <c r="C1504" s="148" t="s">
        <v>133</v>
      </c>
      <c r="D1504" s="147" t="s">
        <v>274</v>
      </c>
      <c r="E1504" s="147" t="s">
        <v>218</v>
      </c>
      <c r="F1504" s="149">
        <v>35056.50760574414</v>
      </c>
      <c r="G1504" s="148" t="s">
        <v>219</v>
      </c>
    </row>
    <row r="1505" spans="1:7">
      <c r="A1505" s="147" t="s">
        <v>185</v>
      </c>
      <c r="B1505" s="147" t="s">
        <v>270</v>
      </c>
      <c r="C1505" s="148" t="s">
        <v>133</v>
      </c>
      <c r="D1505" s="147" t="s">
        <v>274</v>
      </c>
      <c r="E1505" s="147" t="s">
        <v>218</v>
      </c>
      <c r="F1505" s="149">
        <v>32290.149962843596</v>
      </c>
      <c r="G1505" s="148" t="s">
        <v>219</v>
      </c>
    </row>
    <row r="1506" spans="1:7">
      <c r="A1506" s="147" t="s">
        <v>107</v>
      </c>
      <c r="B1506" s="147" t="s">
        <v>270</v>
      </c>
      <c r="C1506" s="148" t="s">
        <v>133</v>
      </c>
      <c r="D1506" s="147" t="s">
        <v>274</v>
      </c>
      <c r="E1506" s="147" t="s">
        <v>218</v>
      </c>
      <c r="F1506" s="149">
        <v>23177.705789262844</v>
      </c>
      <c r="G1506" s="148" t="s">
        <v>219</v>
      </c>
    </row>
    <row r="1507" spans="1:7">
      <c r="A1507" s="147">
        <v>2018</v>
      </c>
      <c r="B1507" s="147" t="s">
        <v>270</v>
      </c>
      <c r="C1507" s="148" t="s">
        <v>133</v>
      </c>
      <c r="D1507" s="147" t="s">
        <v>275</v>
      </c>
      <c r="E1507" s="147" t="s">
        <v>218</v>
      </c>
      <c r="F1507" s="149">
        <v>5758.9837281113159</v>
      </c>
      <c r="G1507" s="148" t="s">
        <v>219</v>
      </c>
    </row>
    <row r="1508" spans="1:7">
      <c r="A1508" s="147">
        <v>2019</v>
      </c>
      <c r="B1508" s="147" t="s">
        <v>270</v>
      </c>
      <c r="C1508" s="148" t="s">
        <v>133</v>
      </c>
      <c r="D1508" s="147" t="s">
        <v>275</v>
      </c>
      <c r="E1508" s="147" t="s">
        <v>218</v>
      </c>
      <c r="F1508" s="149">
        <v>6011.2722099057773</v>
      </c>
      <c r="G1508" s="148" t="s">
        <v>219</v>
      </c>
    </row>
    <row r="1509" spans="1:7">
      <c r="A1509" s="147">
        <v>2020</v>
      </c>
      <c r="B1509" s="147" t="s">
        <v>270</v>
      </c>
      <c r="C1509" s="148" t="s">
        <v>133</v>
      </c>
      <c r="D1509" s="147" t="s">
        <v>275</v>
      </c>
      <c r="E1509" s="147" t="s">
        <v>218</v>
      </c>
      <c r="F1509" s="149">
        <v>5195.5162644360089</v>
      </c>
      <c r="G1509" s="148" t="s">
        <v>219</v>
      </c>
    </row>
    <row r="1510" spans="1:7">
      <c r="A1510" s="147">
        <v>2021</v>
      </c>
      <c r="B1510" s="147" t="s">
        <v>270</v>
      </c>
      <c r="C1510" s="148" t="s">
        <v>133</v>
      </c>
      <c r="D1510" s="147" t="s">
        <v>275</v>
      </c>
      <c r="E1510" s="147" t="s">
        <v>218</v>
      </c>
      <c r="F1510" s="149">
        <v>6207.0730684093951</v>
      </c>
      <c r="G1510" s="148" t="s">
        <v>219</v>
      </c>
    </row>
    <row r="1511" spans="1:7">
      <c r="A1511" s="147">
        <v>2022</v>
      </c>
      <c r="B1511" s="147" t="s">
        <v>270</v>
      </c>
      <c r="C1511" s="148" t="s">
        <v>133</v>
      </c>
      <c r="D1511" s="147" t="s">
        <v>275</v>
      </c>
      <c r="E1511" s="147" t="s">
        <v>218</v>
      </c>
      <c r="F1511" s="149">
        <v>6408.5252609877889</v>
      </c>
      <c r="G1511" s="148" t="s">
        <v>219</v>
      </c>
    </row>
    <row r="1512" spans="1:7">
      <c r="A1512" s="147" t="s">
        <v>185</v>
      </c>
      <c r="B1512" s="147" t="s">
        <v>270</v>
      </c>
      <c r="C1512" s="148" t="s">
        <v>133</v>
      </c>
      <c r="D1512" s="147" t="s">
        <v>275</v>
      </c>
      <c r="E1512" s="147" t="s">
        <v>218</v>
      </c>
      <c r="F1512" s="149">
        <v>6683.285892421356</v>
      </c>
      <c r="G1512" s="148" t="s">
        <v>219</v>
      </c>
    </row>
    <row r="1513" spans="1:7">
      <c r="A1513" s="147" t="s">
        <v>107</v>
      </c>
      <c r="B1513" s="147" t="s">
        <v>270</v>
      </c>
      <c r="C1513" s="148" t="s">
        <v>133</v>
      </c>
      <c r="D1513" s="147" t="s">
        <v>275</v>
      </c>
      <c r="E1513" s="147" t="s">
        <v>218</v>
      </c>
      <c r="F1513" s="149">
        <v>7786.3486452959969</v>
      </c>
      <c r="G1513" s="148" t="s">
        <v>219</v>
      </c>
    </row>
    <row r="1514" spans="1:7">
      <c r="A1514" s="147">
        <v>2018</v>
      </c>
      <c r="B1514" s="147" t="s">
        <v>270</v>
      </c>
      <c r="C1514" s="148" t="s">
        <v>133</v>
      </c>
      <c r="D1514" s="147" t="s">
        <v>276</v>
      </c>
      <c r="E1514" s="147" t="s">
        <v>218</v>
      </c>
      <c r="F1514" s="149">
        <v>3471.4477258513502</v>
      </c>
      <c r="G1514" s="148" t="s">
        <v>219</v>
      </c>
    </row>
    <row r="1515" spans="1:7">
      <c r="A1515" s="147">
        <v>2019</v>
      </c>
      <c r="B1515" s="147" t="s">
        <v>270</v>
      </c>
      <c r="C1515" s="148" t="s">
        <v>133</v>
      </c>
      <c r="D1515" s="147" t="s">
        <v>276</v>
      </c>
      <c r="E1515" s="147" t="s">
        <v>218</v>
      </c>
      <c r="F1515" s="149">
        <v>3567.2110225651941</v>
      </c>
      <c r="G1515" s="148" t="s">
        <v>219</v>
      </c>
    </row>
    <row r="1516" spans="1:7">
      <c r="A1516" s="147">
        <v>2020</v>
      </c>
      <c r="B1516" s="147" t="s">
        <v>270</v>
      </c>
      <c r="C1516" s="148" t="s">
        <v>133</v>
      </c>
      <c r="D1516" s="147" t="s">
        <v>276</v>
      </c>
      <c r="E1516" s="147" t="s">
        <v>218</v>
      </c>
      <c r="F1516" s="149">
        <v>3511.7161254284456</v>
      </c>
      <c r="G1516" s="148" t="s">
        <v>219</v>
      </c>
    </row>
    <row r="1517" spans="1:7">
      <c r="A1517" s="147">
        <v>2021</v>
      </c>
      <c r="B1517" s="147" t="s">
        <v>270</v>
      </c>
      <c r="C1517" s="148" t="s">
        <v>133</v>
      </c>
      <c r="D1517" s="147" t="s">
        <v>276</v>
      </c>
      <c r="E1517" s="147" t="s">
        <v>218</v>
      </c>
      <c r="F1517" s="149">
        <v>3753.7037739788661</v>
      </c>
      <c r="G1517" s="148" t="s">
        <v>219</v>
      </c>
    </row>
    <row r="1518" spans="1:7">
      <c r="A1518" s="147">
        <v>2022</v>
      </c>
      <c r="B1518" s="147" t="s">
        <v>270</v>
      </c>
      <c r="C1518" s="148" t="s">
        <v>133</v>
      </c>
      <c r="D1518" s="147" t="s">
        <v>276</v>
      </c>
      <c r="E1518" s="147" t="s">
        <v>218</v>
      </c>
      <c r="F1518" s="149">
        <v>3749.0257376262007</v>
      </c>
      <c r="G1518" s="148" t="s">
        <v>219</v>
      </c>
    </row>
    <row r="1519" spans="1:7">
      <c r="A1519" s="147" t="s">
        <v>185</v>
      </c>
      <c r="B1519" s="147" t="s">
        <v>270</v>
      </c>
      <c r="C1519" s="148" t="s">
        <v>133</v>
      </c>
      <c r="D1519" s="147" t="s">
        <v>276</v>
      </c>
      <c r="E1519" s="147" t="s">
        <v>218</v>
      </c>
      <c r="F1519" s="149">
        <v>4331.1668266525112</v>
      </c>
      <c r="G1519" s="148" t="s">
        <v>219</v>
      </c>
    </row>
    <row r="1520" spans="1:7">
      <c r="A1520" s="147" t="s">
        <v>107</v>
      </c>
      <c r="B1520" s="147" t="s">
        <v>270</v>
      </c>
      <c r="C1520" s="148" t="s">
        <v>133</v>
      </c>
      <c r="D1520" s="147" t="s">
        <v>276</v>
      </c>
      <c r="E1520" s="147" t="s">
        <v>218</v>
      </c>
      <c r="F1520" s="149">
        <v>4341.4973802785917</v>
      </c>
      <c r="G1520" s="148" t="s">
        <v>219</v>
      </c>
    </row>
    <row r="1521" spans="1:7">
      <c r="A1521" s="147">
        <v>2018</v>
      </c>
      <c r="B1521" s="147" t="s">
        <v>270</v>
      </c>
      <c r="C1521" s="148" t="s">
        <v>133</v>
      </c>
      <c r="D1521" s="147" t="s">
        <v>277</v>
      </c>
      <c r="E1521" s="147" t="s">
        <v>218</v>
      </c>
      <c r="F1521" s="149">
        <v>6529.2178672771315</v>
      </c>
      <c r="G1521" s="148" t="s">
        <v>219</v>
      </c>
    </row>
    <row r="1522" spans="1:7">
      <c r="A1522" s="147">
        <v>2019</v>
      </c>
      <c r="B1522" s="147" t="s">
        <v>270</v>
      </c>
      <c r="C1522" s="148" t="s">
        <v>133</v>
      </c>
      <c r="D1522" s="147" t="s">
        <v>277</v>
      </c>
      <c r="E1522" s="147" t="s">
        <v>218</v>
      </c>
      <c r="F1522" s="149">
        <v>6789.5501870476228</v>
      </c>
      <c r="G1522" s="148" t="s">
        <v>219</v>
      </c>
    </row>
    <row r="1523" spans="1:7">
      <c r="A1523" s="147">
        <v>2020</v>
      </c>
      <c r="B1523" s="147" t="s">
        <v>270</v>
      </c>
      <c r="C1523" s="148" t="s">
        <v>133</v>
      </c>
      <c r="D1523" s="147" t="s">
        <v>277</v>
      </c>
      <c r="E1523" s="147" t="s">
        <v>218</v>
      </c>
      <c r="F1523" s="149">
        <v>6133.6189816613014</v>
      </c>
      <c r="G1523" s="148" t="s">
        <v>219</v>
      </c>
    </row>
    <row r="1524" spans="1:7">
      <c r="A1524" s="147">
        <v>2021</v>
      </c>
      <c r="B1524" s="147" t="s">
        <v>270</v>
      </c>
      <c r="C1524" s="148" t="s">
        <v>133</v>
      </c>
      <c r="D1524" s="147" t="s">
        <v>277</v>
      </c>
      <c r="E1524" s="147" t="s">
        <v>218</v>
      </c>
      <c r="F1524" s="149">
        <v>7007.8236922829119</v>
      </c>
      <c r="G1524" s="148" t="s">
        <v>219</v>
      </c>
    </row>
    <row r="1525" spans="1:7">
      <c r="A1525" s="147">
        <v>2022</v>
      </c>
      <c r="B1525" s="147" t="s">
        <v>270</v>
      </c>
      <c r="C1525" s="148" t="s">
        <v>133</v>
      </c>
      <c r="D1525" s="147" t="s">
        <v>277</v>
      </c>
      <c r="E1525" s="147" t="s">
        <v>218</v>
      </c>
      <c r="F1525" s="149">
        <v>7621.8725136161238</v>
      </c>
      <c r="G1525" s="148" t="s">
        <v>219</v>
      </c>
    </row>
    <row r="1526" spans="1:7">
      <c r="A1526" s="147" t="s">
        <v>185</v>
      </c>
      <c r="B1526" s="147" t="s">
        <v>270</v>
      </c>
      <c r="C1526" s="148" t="s">
        <v>133</v>
      </c>
      <c r="D1526" s="147" t="s">
        <v>277</v>
      </c>
      <c r="E1526" s="147" t="s">
        <v>218</v>
      </c>
      <c r="F1526" s="149">
        <v>7711.0460137220416</v>
      </c>
      <c r="G1526" s="148" t="s">
        <v>219</v>
      </c>
    </row>
    <row r="1527" spans="1:7">
      <c r="A1527" s="147" t="s">
        <v>107</v>
      </c>
      <c r="B1527" s="147" t="s">
        <v>270</v>
      </c>
      <c r="C1527" s="148" t="s">
        <v>133</v>
      </c>
      <c r="D1527" s="147" t="s">
        <v>277</v>
      </c>
      <c r="E1527" s="147" t="s">
        <v>218</v>
      </c>
      <c r="F1527" s="149">
        <v>8683.9009577577563</v>
      </c>
      <c r="G1527" s="148" t="s">
        <v>219</v>
      </c>
    </row>
    <row r="1528" spans="1:7">
      <c r="A1528" s="147">
        <v>2018</v>
      </c>
      <c r="B1528" s="147" t="s">
        <v>270</v>
      </c>
      <c r="C1528" s="148" t="s">
        <v>133</v>
      </c>
      <c r="D1528" s="147" t="s">
        <v>278</v>
      </c>
      <c r="E1528" s="147" t="s">
        <v>218</v>
      </c>
      <c r="F1528" s="149">
        <v>7500.4937270177452</v>
      </c>
      <c r="G1528" s="148" t="s">
        <v>219</v>
      </c>
    </row>
    <row r="1529" spans="1:7">
      <c r="A1529" s="147">
        <v>2019</v>
      </c>
      <c r="B1529" s="147" t="s">
        <v>270</v>
      </c>
      <c r="C1529" s="148" t="s">
        <v>133</v>
      </c>
      <c r="D1529" s="147" t="s">
        <v>278</v>
      </c>
      <c r="E1529" s="147" t="s">
        <v>218</v>
      </c>
      <c r="F1529" s="149">
        <v>9318.6382483293255</v>
      </c>
      <c r="G1529" s="148" t="s">
        <v>219</v>
      </c>
    </row>
    <row r="1530" spans="1:7">
      <c r="A1530" s="147">
        <v>2020</v>
      </c>
      <c r="B1530" s="147" t="s">
        <v>270</v>
      </c>
      <c r="C1530" s="148" t="s">
        <v>133</v>
      </c>
      <c r="D1530" s="147" t="s">
        <v>278</v>
      </c>
      <c r="E1530" s="147" t="s">
        <v>218</v>
      </c>
      <c r="F1530" s="149">
        <v>7919.2443843126066</v>
      </c>
      <c r="G1530" s="148" t="s">
        <v>219</v>
      </c>
    </row>
    <row r="1531" spans="1:7">
      <c r="A1531" s="147">
        <v>2021</v>
      </c>
      <c r="B1531" s="147" t="s">
        <v>270</v>
      </c>
      <c r="C1531" s="148" t="s">
        <v>133</v>
      </c>
      <c r="D1531" s="147" t="s">
        <v>278</v>
      </c>
      <c r="E1531" s="147" t="s">
        <v>218</v>
      </c>
      <c r="F1531" s="149">
        <v>8884.5557507422436</v>
      </c>
      <c r="G1531" s="148" t="s">
        <v>219</v>
      </c>
    </row>
    <row r="1532" spans="1:7">
      <c r="A1532" s="147">
        <v>2022</v>
      </c>
      <c r="B1532" s="147" t="s">
        <v>270</v>
      </c>
      <c r="C1532" s="148" t="s">
        <v>133</v>
      </c>
      <c r="D1532" s="147" t="s">
        <v>278</v>
      </c>
      <c r="E1532" s="147" t="s">
        <v>218</v>
      </c>
      <c r="F1532" s="149">
        <v>9748.0240450475867</v>
      </c>
      <c r="G1532" s="148" t="s">
        <v>219</v>
      </c>
    </row>
    <row r="1533" spans="1:7">
      <c r="A1533" s="147" t="s">
        <v>185</v>
      </c>
      <c r="B1533" s="147" t="s">
        <v>270</v>
      </c>
      <c r="C1533" s="148" t="s">
        <v>133</v>
      </c>
      <c r="D1533" s="147" t="s">
        <v>278</v>
      </c>
      <c r="E1533" s="147" t="s">
        <v>218</v>
      </c>
      <c r="F1533" s="149">
        <v>9194.1823579144257</v>
      </c>
      <c r="G1533" s="148" t="s">
        <v>219</v>
      </c>
    </row>
    <row r="1534" spans="1:7">
      <c r="A1534" s="147" t="s">
        <v>107</v>
      </c>
      <c r="B1534" s="147" t="s">
        <v>270</v>
      </c>
      <c r="C1534" s="148" t="s">
        <v>133</v>
      </c>
      <c r="D1534" s="147" t="s">
        <v>278</v>
      </c>
      <c r="E1534" s="147" t="s">
        <v>218</v>
      </c>
      <c r="F1534" s="149">
        <v>10537.689705402217</v>
      </c>
      <c r="G1534" s="148" t="s">
        <v>219</v>
      </c>
    </row>
    <row r="1535" spans="1:7">
      <c r="A1535" s="147">
        <v>2018</v>
      </c>
      <c r="B1535" s="147" t="s">
        <v>270</v>
      </c>
      <c r="C1535" s="148" t="s">
        <v>133</v>
      </c>
      <c r="D1535" s="147" t="s">
        <v>279</v>
      </c>
      <c r="E1535" s="147" t="s">
        <v>218</v>
      </c>
      <c r="F1535" s="149">
        <v>25194.852402851982</v>
      </c>
      <c r="G1535" s="148" t="s">
        <v>219</v>
      </c>
    </row>
    <row r="1536" spans="1:7">
      <c r="A1536" s="147">
        <v>2019</v>
      </c>
      <c r="B1536" s="147" t="s">
        <v>270</v>
      </c>
      <c r="C1536" s="148" t="s">
        <v>133</v>
      </c>
      <c r="D1536" s="147" t="s">
        <v>279</v>
      </c>
      <c r="E1536" s="147" t="s">
        <v>218</v>
      </c>
      <c r="F1536" s="149">
        <v>25256.776398542628</v>
      </c>
      <c r="G1536" s="148" t="s">
        <v>219</v>
      </c>
    </row>
    <row r="1537" spans="1:7">
      <c r="A1537" s="147">
        <v>2020</v>
      </c>
      <c r="B1537" s="147" t="s">
        <v>270</v>
      </c>
      <c r="C1537" s="148" t="s">
        <v>133</v>
      </c>
      <c r="D1537" s="147" t="s">
        <v>279</v>
      </c>
      <c r="E1537" s="147" t="s">
        <v>218</v>
      </c>
      <c r="F1537" s="149">
        <v>19536.269785525339</v>
      </c>
      <c r="G1537" s="148" t="s">
        <v>219</v>
      </c>
    </row>
    <row r="1538" spans="1:7">
      <c r="A1538" s="147">
        <v>2021</v>
      </c>
      <c r="B1538" s="147" t="s">
        <v>270</v>
      </c>
      <c r="C1538" s="148" t="s">
        <v>133</v>
      </c>
      <c r="D1538" s="147" t="s">
        <v>279</v>
      </c>
      <c r="E1538" s="147" t="s">
        <v>218</v>
      </c>
      <c r="F1538" s="149">
        <v>22341.761408644204</v>
      </c>
      <c r="G1538" s="148" t="s">
        <v>219</v>
      </c>
    </row>
    <row r="1539" spans="1:7">
      <c r="A1539" s="147">
        <v>2022</v>
      </c>
      <c r="B1539" s="147" t="s">
        <v>270</v>
      </c>
      <c r="C1539" s="148" t="s">
        <v>133</v>
      </c>
      <c r="D1539" s="147" t="s">
        <v>279</v>
      </c>
      <c r="E1539" s="147" t="s">
        <v>218</v>
      </c>
      <c r="F1539" s="149">
        <v>24662.025718514196</v>
      </c>
      <c r="G1539" s="148" t="s">
        <v>219</v>
      </c>
    </row>
    <row r="1540" spans="1:7">
      <c r="A1540" s="147" t="s">
        <v>185</v>
      </c>
      <c r="B1540" s="147" t="s">
        <v>270</v>
      </c>
      <c r="C1540" s="148" t="s">
        <v>133</v>
      </c>
      <c r="D1540" s="147" t="s">
        <v>279</v>
      </c>
      <c r="E1540" s="147" t="s">
        <v>218</v>
      </c>
      <c r="F1540" s="149">
        <v>26912.921860598079</v>
      </c>
      <c r="G1540" s="148" t="s">
        <v>219</v>
      </c>
    </row>
    <row r="1541" spans="1:7">
      <c r="A1541" s="147" t="s">
        <v>107</v>
      </c>
      <c r="B1541" s="147" t="s">
        <v>270</v>
      </c>
      <c r="C1541" s="148" t="s">
        <v>133</v>
      </c>
      <c r="D1541" s="147" t="s">
        <v>279</v>
      </c>
      <c r="E1541" s="147" t="s">
        <v>218</v>
      </c>
      <c r="F1541" s="149">
        <v>28132.930766845282</v>
      </c>
      <c r="G1541" s="148" t="s">
        <v>219</v>
      </c>
    </row>
    <row r="1542" spans="1:7">
      <c r="A1542" s="147">
        <v>2018</v>
      </c>
      <c r="B1542" s="147" t="s">
        <v>270</v>
      </c>
      <c r="C1542" s="148" t="s">
        <v>133</v>
      </c>
      <c r="D1542" s="147" t="s">
        <v>280</v>
      </c>
      <c r="E1542" s="147" t="s">
        <v>218</v>
      </c>
      <c r="F1542" s="149">
        <v>10450.750719933927</v>
      </c>
      <c r="G1542" s="148" t="s">
        <v>219</v>
      </c>
    </row>
    <row r="1543" spans="1:7">
      <c r="A1543" s="147">
        <v>2019</v>
      </c>
      <c r="B1543" s="147" t="s">
        <v>270</v>
      </c>
      <c r="C1543" s="148" t="s">
        <v>133</v>
      </c>
      <c r="D1543" s="147" t="s">
        <v>280</v>
      </c>
      <c r="E1543" s="147" t="s">
        <v>218</v>
      </c>
      <c r="F1543" s="149">
        <v>11751.478434201646</v>
      </c>
      <c r="G1543" s="148" t="s">
        <v>219</v>
      </c>
    </row>
    <row r="1544" spans="1:7">
      <c r="A1544" s="147">
        <v>2020</v>
      </c>
      <c r="B1544" s="147" t="s">
        <v>270</v>
      </c>
      <c r="C1544" s="148" t="s">
        <v>133</v>
      </c>
      <c r="D1544" s="147" t="s">
        <v>280</v>
      </c>
      <c r="E1544" s="147" t="s">
        <v>218</v>
      </c>
      <c r="F1544" s="149">
        <v>9982.044793183095</v>
      </c>
      <c r="G1544" s="148" t="s">
        <v>219</v>
      </c>
    </row>
    <row r="1545" spans="1:7">
      <c r="A1545" s="147">
        <v>2021</v>
      </c>
      <c r="B1545" s="147" t="s">
        <v>270</v>
      </c>
      <c r="C1545" s="148" t="s">
        <v>133</v>
      </c>
      <c r="D1545" s="147" t="s">
        <v>280</v>
      </c>
      <c r="E1545" s="147" t="s">
        <v>218</v>
      </c>
      <c r="F1545" s="149">
        <v>11058.40301215378</v>
      </c>
      <c r="G1545" s="148" t="s">
        <v>219</v>
      </c>
    </row>
    <row r="1546" spans="1:7">
      <c r="A1546" s="147">
        <v>2022</v>
      </c>
      <c r="B1546" s="147" t="s">
        <v>270</v>
      </c>
      <c r="C1546" s="148" t="s">
        <v>133</v>
      </c>
      <c r="D1546" s="147" t="s">
        <v>280</v>
      </c>
      <c r="E1546" s="147" t="s">
        <v>218</v>
      </c>
      <c r="F1546" s="149">
        <v>11764.841867951609</v>
      </c>
      <c r="G1546" s="148" t="s">
        <v>219</v>
      </c>
    </row>
    <row r="1547" spans="1:7">
      <c r="A1547" s="147" t="s">
        <v>185</v>
      </c>
      <c r="B1547" s="147" t="s">
        <v>270</v>
      </c>
      <c r="C1547" s="148" t="s">
        <v>133</v>
      </c>
      <c r="D1547" s="147" t="s">
        <v>280</v>
      </c>
      <c r="E1547" s="147" t="s">
        <v>218</v>
      </c>
      <c r="F1547" s="149">
        <v>13344.31211345936</v>
      </c>
      <c r="G1547" s="148" t="s">
        <v>219</v>
      </c>
    </row>
    <row r="1548" spans="1:7">
      <c r="A1548" s="147" t="s">
        <v>107</v>
      </c>
      <c r="B1548" s="147" t="s">
        <v>270</v>
      </c>
      <c r="C1548" s="148" t="s">
        <v>133</v>
      </c>
      <c r="D1548" s="147" t="s">
        <v>280</v>
      </c>
      <c r="E1548" s="147" t="s">
        <v>218</v>
      </c>
      <c r="F1548" s="149">
        <v>16029.52424974478</v>
      </c>
      <c r="G1548" s="148" t="s">
        <v>219</v>
      </c>
    </row>
    <row r="1549" spans="1:7">
      <c r="A1549" s="147">
        <v>2018</v>
      </c>
      <c r="B1549" s="147" t="s">
        <v>270</v>
      </c>
      <c r="C1549" s="148" t="s">
        <v>133</v>
      </c>
      <c r="D1549" s="147" t="s">
        <v>281</v>
      </c>
      <c r="E1549" s="147" t="s">
        <v>218</v>
      </c>
      <c r="F1549" s="149">
        <v>7233.1053010719579</v>
      </c>
      <c r="G1549" s="148" t="s">
        <v>219</v>
      </c>
    </row>
    <row r="1550" spans="1:7">
      <c r="A1550" s="147">
        <v>2019</v>
      </c>
      <c r="B1550" s="147" t="s">
        <v>270</v>
      </c>
      <c r="C1550" s="148" t="s">
        <v>133</v>
      </c>
      <c r="D1550" s="147" t="s">
        <v>281</v>
      </c>
      <c r="E1550" s="147" t="s">
        <v>218</v>
      </c>
      <c r="F1550" s="149">
        <v>7123.5321521153428</v>
      </c>
      <c r="G1550" s="148" t="s">
        <v>219</v>
      </c>
    </row>
    <row r="1551" spans="1:7">
      <c r="A1551" s="147">
        <v>2020</v>
      </c>
      <c r="B1551" s="147" t="s">
        <v>270</v>
      </c>
      <c r="C1551" s="148" t="s">
        <v>133</v>
      </c>
      <c r="D1551" s="147" t="s">
        <v>281</v>
      </c>
      <c r="E1551" s="147" t="s">
        <v>218</v>
      </c>
      <c r="F1551" s="149">
        <v>6427.776967414351</v>
      </c>
      <c r="G1551" s="148" t="s">
        <v>219</v>
      </c>
    </row>
    <row r="1552" spans="1:7">
      <c r="A1552" s="147">
        <v>2021</v>
      </c>
      <c r="B1552" s="147" t="s">
        <v>270</v>
      </c>
      <c r="C1552" s="148" t="s">
        <v>133</v>
      </c>
      <c r="D1552" s="147" t="s">
        <v>281</v>
      </c>
      <c r="E1552" s="147" t="s">
        <v>218</v>
      </c>
      <c r="F1552" s="149">
        <v>7483.1512293750793</v>
      </c>
      <c r="G1552" s="148" t="s">
        <v>219</v>
      </c>
    </row>
    <row r="1553" spans="1:7">
      <c r="A1553" s="147">
        <v>2022</v>
      </c>
      <c r="B1553" s="147" t="s">
        <v>270</v>
      </c>
      <c r="C1553" s="148" t="s">
        <v>133</v>
      </c>
      <c r="D1553" s="147" t="s">
        <v>281</v>
      </c>
      <c r="E1553" s="147" t="s">
        <v>218</v>
      </c>
      <c r="F1553" s="149">
        <v>7941.7773760448254</v>
      </c>
      <c r="G1553" s="148" t="s">
        <v>219</v>
      </c>
    </row>
    <row r="1554" spans="1:7">
      <c r="A1554" s="147" t="s">
        <v>185</v>
      </c>
      <c r="B1554" s="147" t="s">
        <v>270</v>
      </c>
      <c r="C1554" s="148" t="s">
        <v>133</v>
      </c>
      <c r="D1554" s="147" t="s">
        <v>281</v>
      </c>
      <c r="E1554" s="147" t="s">
        <v>218</v>
      </c>
      <c r="F1554" s="149">
        <v>8095.8020110035368</v>
      </c>
      <c r="G1554" s="148" t="s">
        <v>219</v>
      </c>
    </row>
    <row r="1555" spans="1:7">
      <c r="A1555" s="147" t="s">
        <v>107</v>
      </c>
      <c r="B1555" s="147" t="s">
        <v>270</v>
      </c>
      <c r="C1555" s="148" t="s">
        <v>133</v>
      </c>
      <c r="D1555" s="147" t="s">
        <v>281</v>
      </c>
      <c r="E1555" s="147" t="s">
        <v>218</v>
      </c>
      <c r="F1555" s="149">
        <v>8406.4562739240973</v>
      </c>
      <c r="G1555" s="148" t="s">
        <v>219</v>
      </c>
    </row>
    <row r="1556" spans="1:7">
      <c r="A1556" s="147">
        <v>2018</v>
      </c>
      <c r="B1556" s="147" t="s">
        <v>270</v>
      </c>
      <c r="C1556" s="148" t="s">
        <v>133</v>
      </c>
      <c r="D1556" s="147" t="s">
        <v>282</v>
      </c>
      <c r="E1556" s="147" t="s">
        <v>218</v>
      </c>
      <c r="F1556" s="149">
        <v>16186.579386625543</v>
      </c>
      <c r="G1556" s="148" t="s">
        <v>219</v>
      </c>
    </row>
    <row r="1557" spans="1:7">
      <c r="A1557" s="147">
        <v>2019</v>
      </c>
      <c r="B1557" s="147" t="s">
        <v>270</v>
      </c>
      <c r="C1557" s="148" t="s">
        <v>133</v>
      </c>
      <c r="D1557" s="147" t="s">
        <v>282</v>
      </c>
      <c r="E1557" s="147" t="s">
        <v>218</v>
      </c>
      <c r="F1557" s="149">
        <v>16451.411633787535</v>
      </c>
      <c r="G1557" s="148" t="s">
        <v>219</v>
      </c>
    </row>
    <row r="1558" spans="1:7">
      <c r="A1558" s="147">
        <v>2020</v>
      </c>
      <c r="B1558" s="147" t="s">
        <v>270</v>
      </c>
      <c r="C1558" s="148" t="s">
        <v>133</v>
      </c>
      <c r="D1558" s="147" t="s">
        <v>282</v>
      </c>
      <c r="E1558" s="147" t="s">
        <v>218</v>
      </c>
      <c r="F1558" s="149">
        <v>13330.947885041491</v>
      </c>
      <c r="G1558" s="148" t="s">
        <v>219</v>
      </c>
    </row>
    <row r="1559" spans="1:7">
      <c r="A1559" s="147">
        <v>2021</v>
      </c>
      <c r="B1559" s="147" t="s">
        <v>270</v>
      </c>
      <c r="C1559" s="148" t="s">
        <v>133</v>
      </c>
      <c r="D1559" s="147" t="s">
        <v>282</v>
      </c>
      <c r="E1559" s="147" t="s">
        <v>218</v>
      </c>
      <c r="F1559" s="149">
        <v>15315.311893088981</v>
      </c>
      <c r="G1559" s="148" t="s">
        <v>219</v>
      </c>
    </row>
    <row r="1560" spans="1:7">
      <c r="A1560" s="147">
        <v>2022</v>
      </c>
      <c r="B1560" s="147" t="s">
        <v>270</v>
      </c>
      <c r="C1560" s="148" t="s">
        <v>133</v>
      </c>
      <c r="D1560" s="147" t="s">
        <v>282</v>
      </c>
      <c r="E1560" s="147" t="s">
        <v>218</v>
      </c>
      <c r="F1560" s="149">
        <v>16781.466354260923</v>
      </c>
      <c r="G1560" s="148" t="s">
        <v>219</v>
      </c>
    </row>
    <row r="1561" spans="1:7">
      <c r="A1561" s="147" t="s">
        <v>185</v>
      </c>
      <c r="B1561" s="147" t="s">
        <v>270</v>
      </c>
      <c r="C1561" s="148" t="s">
        <v>133</v>
      </c>
      <c r="D1561" s="147" t="s">
        <v>282</v>
      </c>
      <c r="E1561" s="147" t="s">
        <v>218</v>
      </c>
      <c r="F1561" s="149">
        <v>17752.217794678931</v>
      </c>
      <c r="G1561" s="148" t="s">
        <v>219</v>
      </c>
    </row>
    <row r="1562" spans="1:7">
      <c r="A1562" s="147" t="s">
        <v>107</v>
      </c>
      <c r="B1562" s="147" t="s">
        <v>270</v>
      </c>
      <c r="C1562" s="148" t="s">
        <v>133</v>
      </c>
      <c r="D1562" s="147" t="s">
        <v>282</v>
      </c>
      <c r="E1562" s="147" t="s">
        <v>218</v>
      </c>
      <c r="F1562" s="149">
        <v>18010.661422495054</v>
      </c>
      <c r="G1562" s="148" t="s">
        <v>219</v>
      </c>
    </row>
    <row r="1563" spans="1:7">
      <c r="A1563" s="147">
        <v>2018</v>
      </c>
      <c r="B1563" s="147" t="s">
        <v>270</v>
      </c>
      <c r="C1563" s="148" t="s">
        <v>133</v>
      </c>
      <c r="D1563" s="147" t="s">
        <v>272</v>
      </c>
      <c r="E1563" s="147" t="s">
        <v>218</v>
      </c>
      <c r="F1563" s="149">
        <v>5096.85095672239</v>
      </c>
      <c r="G1563" s="148" t="s">
        <v>271</v>
      </c>
    </row>
    <row r="1564" spans="1:7">
      <c r="A1564" s="147">
        <v>2019</v>
      </c>
      <c r="B1564" s="147" t="s">
        <v>270</v>
      </c>
      <c r="C1564" s="148" t="s">
        <v>133</v>
      </c>
      <c r="D1564" s="147" t="s">
        <v>272</v>
      </c>
      <c r="E1564" s="147" t="s">
        <v>218</v>
      </c>
      <c r="F1564" s="149">
        <v>4761.0865957788947</v>
      </c>
      <c r="G1564" s="148" t="s">
        <v>271</v>
      </c>
    </row>
    <row r="1565" spans="1:7">
      <c r="A1565" s="147">
        <v>2020</v>
      </c>
      <c r="B1565" s="147" t="s">
        <v>270</v>
      </c>
      <c r="C1565" s="148" t="s">
        <v>133</v>
      </c>
      <c r="D1565" s="147" t="s">
        <v>272</v>
      </c>
      <c r="E1565" s="147" t="s">
        <v>218</v>
      </c>
      <c r="F1565" s="149">
        <v>4948.6536423838043</v>
      </c>
      <c r="G1565" s="148" t="s">
        <v>271</v>
      </c>
    </row>
    <row r="1566" spans="1:7">
      <c r="A1566" s="147">
        <v>2021</v>
      </c>
      <c r="B1566" s="147" t="s">
        <v>270</v>
      </c>
      <c r="C1566" s="148" t="s">
        <v>133</v>
      </c>
      <c r="D1566" s="147" t="s">
        <v>272</v>
      </c>
      <c r="E1566" s="147" t="s">
        <v>218</v>
      </c>
      <c r="F1566" s="149">
        <v>5570.6470872469245</v>
      </c>
      <c r="G1566" s="148" t="s">
        <v>271</v>
      </c>
    </row>
    <row r="1567" spans="1:7">
      <c r="A1567" s="147">
        <v>2022</v>
      </c>
      <c r="B1567" s="147" t="s">
        <v>270</v>
      </c>
      <c r="C1567" s="148" t="s">
        <v>133</v>
      </c>
      <c r="D1567" s="147" t="s">
        <v>272</v>
      </c>
      <c r="E1567" s="147" t="s">
        <v>218</v>
      </c>
      <c r="F1567" s="149">
        <v>5724.98444753889</v>
      </c>
      <c r="G1567" s="148" t="s">
        <v>271</v>
      </c>
    </row>
    <row r="1568" spans="1:7">
      <c r="A1568" s="147" t="s">
        <v>185</v>
      </c>
      <c r="B1568" s="147" t="s">
        <v>270</v>
      </c>
      <c r="C1568" s="148" t="s">
        <v>133</v>
      </c>
      <c r="D1568" s="147" t="s">
        <v>272</v>
      </c>
      <c r="E1568" s="147" t="s">
        <v>218</v>
      </c>
      <c r="F1568" s="149">
        <v>5823.1740630232134</v>
      </c>
      <c r="G1568" s="148" t="s">
        <v>271</v>
      </c>
    </row>
    <row r="1569" spans="1:7">
      <c r="A1569" s="147" t="s">
        <v>107</v>
      </c>
      <c r="B1569" s="147" t="s">
        <v>270</v>
      </c>
      <c r="C1569" s="148" t="s">
        <v>133</v>
      </c>
      <c r="D1569" s="147" t="s">
        <v>272</v>
      </c>
      <c r="E1569" s="147" t="s">
        <v>218</v>
      </c>
      <c r="F1569" s="149">
        <v>6046.4222772015773</v>
      </c>
      <c r="G1569" s="148" t="s">
        <v>271</v>
      </c>
    </row>
    <row r="1570" spans="1:7">
      <c r="A1570" s="147">
        <v>2018</v>
      </c>
      <c r="B1570" s="147" t="s">
        <v>270</v>
      </c>
      <c r="C1570" s="148" t="s">
        <v>133</v>
      </c>
      <c r="D1570" s="147" t="s">
        <v>273</v>
      </c>
      <c r="E1570" s="147" t="s">
        <v>218</v>
      </c>
      <c r="F1570" s="149">
        <v>8338.9231264038772</v>
      </c>
      <c r="G1570" s="148" t="s">
        <v>271</v>
      </c>
    </row>
    <row r="1571" spans="1:7">
      <c r="A1571" s="147">
        <v>2019</v>
      </c>
      <c r="B1571" s="147" t="s">
        <v>270</v>
      </c>
      <c r="C1571" s="148" t="s">
        <v>133</v>
      </c>
      <c r="D1571" s="147" t="s">
        <v>273</v>
      </c>
      <c r="E1571" s="147" t="s">
        <v>218</v>
      </c>
      <c r="F1571" s="149">
        <v>8113.7960466651293</v>
      </c>
      <c r="G1571" s="148" t="s">
        <v>271</v>
      </c>
    </row>
    <row r="1572" spans="1:7">
      <c r="A1572" s="147">
        <v>2020</v>
      </c>
      <c r="B1572" s="147" t="s">
        <v>270</v>
      </c>
      <c r="C1572" s="148" t="s">
        <v>133</v>
      </c>
      <c r="D1572" s="147" t="s">
        <v>273</v>
      </c>
      <c r="E1572" s="147" t="s">
        <v>218</v>
      </c>
      <c r="F1572" s="149">
        <v>6408.2422322841721</v>
      </c>
      <c r="G1572" s="148" t="s">
        <v>271</v>
      </c>
    </row>
    <row r="1573" spans="1:7">
      <c r="A1573" s="147">
        <v>2021</v>
      </c>
      <c r="B1573" s="147" t="s">
        <v>270</v>
      </c>
      <c r="C1573" s="148" t="s">
        <v>133</v>
      </c>
      <c r="D1573" s="147" t="s">
        <v>273</v>
      </c>
      <c r="E1573" s="147" t="s">
        <v>218</v>
      </c>
      <c r="F1573" s="149">
        <v>8100.2701261908487</v>
      </c>
      <c r="G1573" s="148" t="s">
        <v>271</v>
      </c>
    </row>
    <row r="1574" spans="1:7">
      <c r="A1574" s="147">
        <v>2022</v>
      </c>
      <c r="B1574" s="147" t="s">
        <v>270</v>
      </c>
      <c r="C1574" s="148" t="s">
        <v>133</v>
      </c>
      <c r="D1574" s="147" t="s">
        <v>273</v>
      </c>
      <c r="E1574" s="147" t="s">
        <v>218</v>
      </c>
      <c r="F1574" s="149">
        <v>8608.2193109527707</v>
      </c>
      <c r="G1574" s="148" t="s">
        <v>271</v>
      </c>
    </row>
    <row r="1575" spans="1:7">
      <c r="A1575" s="147" t="s">
        <v>185</v>
      </c>
      <c r="B1575" s="147" t="s">
        <v>270</v>
      </c>
      <c r="C1575" s="148" t="s">
        <v>133</v>
      </c>
      <c r="D1575" s="147" t="s">
        <v>273</v>
      </c>
      <c r="E1575" s="147" t="s">
        <v>218</v>
      </c>
      <c r="F1575" s="149">
        <v>8855.0493970620719</v>
      </c>
      <c r="G1575" s="148" t="s">
        <v>271</v>
      </c>
    </row>
    <row r="1576" spans="1:7">
      <c r="A1576" s="147" t="s">
        <v>107</v>
      </c>
      <c r="B1576" s="147" t="s">
        <v>270</v>
      </c>
      <c r="C1576" s="148" t="s">
        <v>133</v>
      </c>
      <c r="D1576" s="147" t="s">
        <v>273</v>
      </c>
      <c r="E1576" s="147" t="s">
        <v>218</v>
      </c>
      <c r="F1576" s="149">
        <v>9407.2110768005678</v>
      </c>
      <c r="G1576" s="148" t="s">
        <v>271</v>
      </c>
    </row>
    <row r="1577" spans="1:7">
      <c r="A1577" s="147">
        <v>2018</v>
      </c>
      <c r="B1577" s="147" t="s">
        <v>270</v>
      </c>
      <c r="C1577" s="148" t="s">
        <v>133</v>
      </c>
      <c r="D1577" s="147" t="s">
        <v>274</v>
      </c>
      <c r="E1577" s="147" t="s">
        <v>218</v>
      </c>
      <c r="F1577" s="149">
        <v>31121.884273823933</v>
      </c>
      <c r="G1577" s="148" t="s">
        <v>271</v>
      </c>
    </row>
    <row r="1578" spans="1:7">
      <c r="A1578" s="147">
        <v>2019</v>
      </c>
      <c r="B1578" s="147" t="s">
        <v>270</v>
      </c>
      <c r="C1578" s="148" t="s">
        <v>133</v>
      </c>
      <c r="D1578" s="147" t="s">
        <v>274</v>
      </c>
      <c r="E1578" s="147" t="s">
        <v>218</v>
      </c>
      <c r="F1578" s="149">
        <v>30961.039161825542</v>
      </c>
      <c r="G1578" s="148" t="s">
        <v>271</v>
      </c>
    </row>
    <row r="1579" spans="1:7">
      <c r="A1579" s="147">
        <v>2020</v>
      </c>
      <c r="B1579" s="147" t="s">
        <v>270</v>
      </c>
      <c r="C1579" s="148" t="s">
        <v>133</v>
      </c>
      <c r="D1579" s="147" t="s">
        <v>274</v>
      </c>
      <c r="E1579" s="147" t="s">
        <v>218</v>
      </c>
      <c r="F1579" s="149">
        <v>26343.117674019664</v>
      </c>
      <c r="G1579" s="148" t="s">
        <v>271</v>
      </c>
    </row>
    <row r="1580" spans="1:7">
      <c r="A1580" s="147">
        <v>2021</v>
      </c>
      <c r="B1580" s="147" t="s">
        <v>270</v>
      </c>
      <c r="C1580" s="148" t="s">
        <v>133</v>
      </c>
      <c r="D1580" s="147" t="s">
        <v>274</v>
      </c>
      <c r="E1580" s="147" t="s">
        <v>218</v>
      </c>
      <c r="F1580" s="149">
        <v>30702.298229446151</v>
      </c>
      <c r="G1580" s="148" t="s">
        <v>271</v>
      </c>
    </row>
    <row r="1581" spans="1:7">
      <c r="A1581" s="147">
        <v>2022</v>
      </c>
      <c r="B1581" s="147" t="s">
        <v>270</v>
      </c>
      <c r="C1581" s="148" t="s">
        <v>133</v>
      </c>
      <c r="D1581" s="147" t="s">
        <v>274</v>
      </c>
      <c r="E1581" s="147" t="s">
        <v>218</v>
      </c>
      <c r="F1581" s="149">
        <v>36135.160616161862</v>
      </c>
      <c r="G1581" s="148" t="s">
        <v>271</v>
      </c>
    </row>
    <row r="1582" spans="1:7">
      <c r="A1582" s="147" t="s">
        <v>185</v>
      </c>
      <c r="B1582" s="147" t="s">
        <v>270</v>
      </c>
      <c r="C1582" s="148" t="s">
        <v>133</v>
      </c>
      <c r="D1582" s="147" t="s">
        <v>274</v>
      </c>
      <c r="E1582" s="147" t="s">
        <v>218</v>
      </c>
      <c r="F1582" s="149">
        <v>34100.352848235096</v>
      </c>
      <c r="G1582" s="148" t="s">
        <v>271</v>
      </c>
    </row>
    <row r="1583" spans="1:7">
      <c r="A1583" s="147" t="s">
        <v>107</v>
      </c>
      <c r="B1583" s="147" t="s">
        <v>270</v>
      </c>
      <c r="C1583" s="148" t="s">
        <v>133</v>
      </c>
      <c r="D1583" s="147" t="s">
        <v>274</v>
      </c>
      <c r="E1583" s="147" t="s">
        <v>218</v>
      </c>
      <c r="F1583" s="149">
        <v>24687.838216718159</v>
      </c>
      <c r="G1583" s="148" t="s">
        <v>271</v>
      </c>
    </row>
    <row r="1584" spans="1:7">
      <c r="A1584" s="147">
        <v>2018</v>
      </c>
      <c r="B1584" s="147" t="s">
        <v>270</v>
      </c>
      <c r="C1584" s="148" t="s">
        <v>133</v>
      </c>
      <c r="D1584" s="147" t="s">
        <v>275</v>
      </c>
      <c r="E1584" s="147" t="s">
        <v>218</v>
      </c>
      <c r="F1584" s="149">
        <v>5758.9837281113159</v>
      </c>
      <c r="G1584" s="148" t="s">
        <v>271</v>
      </c>
    </row>
    <row r="1585" spans="1:7">
      <c r="A1585" s="147">
        <v>2019</v>
      </c>
      <c r="B1585" s="147" t="s">
        <v>270</v>
      </c>
      <c r="C1585" s="148" t="s">
        <v>133</v>
      </c>
      <c r="D1585" s="147" t="s">
        <v>275</v>
      </c>
      <c r="E1585" s="147" t="s">
        <v>218</v>
      </c>
      <c r="F1585" s="149">
        <v>5995.9620129610057</v>
      </c>
      <c r="G1585" s="148" t="s">
        <v>271</v>
      </c>
    </row>
    <row r="1586" spans="1:7">
      <c r="A1586" s="147">
        <v>2020</v>
      </c>
      <c r="B1586" s="147" t="s">
        <v>270</v>
      </c>
      <c r="C1586" s="148" t="s">
        <v>133</v>
      </c>
      <c r="D1586" s="147" t="s">
        <v>275</v>
      </c>
      <c r="E1586" s="147" t="s">
        <v>218</v>
      </c>
      <c r="F1586" s="149">
        <v>5166.109732875927</v>
      </c>
      <c r="G1586" s="148" t="s">
        <v>271</v>
      </c>
    </row>
    <row r="1587" spans="1:7">
      <c r="A1587" s="147">
        <v>2021</v>
      </c>
      <c r="B1587" s="147" t="s">
        <v>270</v>
      </c>
      <c r="C1587" s="148" t="s">
        <v>133</v>
      </c>
      <c r="D1587" s="147" t="s">
        <v>275</v>
      </c>
      <c r="E1587" s="147" t="s">
        <v>218</v>
      </c>
      <c r="F1587" s="149">
        <v>6271.0532831687915</v>
      </c>
      <c r="G1587" s="148" t="s">
        <v>271</v>
      </c>
    </row>
    <row r="1588" spans="1:7">
      <c r="A1588" s="147">
        <v>2022</v>
      </c>
      <c r="B1588" s="147" t="s">
        <v>270</v>
      </c>
      <c r="C1588" s="148" t="s">
        <v>133</v>
      </c>
      <c r="D1588" s="147" t="s">
        <v>275</v>
      </c>
      <c r="E1588" s="147" t="s">
        <v>218</v>
      </c>
      <c r="F1588" s="149">
        <v>6624.5549174850103</v>
      </c>
      <c r="G1588" s="148" t="s">
        <v>271</v>
      </c>
    </row>
    <row r="1589" spans="1:7">
      <c r="A1589" s="147" t="s">
        <v>185</v>
      </c>
      <c r="B1589" s="147" t="s">
        <v>270</v>
      </c>
      <c r="C1589" s="148" t="s">
        <v>133</v>
      </c>
      <c r="D1589" s="147" t="s">
        <v>275</v>
      </c>
      <c r="E1589" s="147" t="s">
        <v>218</v>
      </c>
      <c r="F1589" s="149">
        <v>7033.0628151278306</v>
      </c>
      <c r="G1589" s="148" t="s">
        <v>271</v>
      </c>
    </row>
    <row r="1590" spans="1:7">
      <c r="A1590" s="147" t="s">
        <v>107</v>
      </c>
      <c r="B1590" s="147" t="s">
        <v>270</v>
      </c>
      <c r="C1590" s="148" t="s">
        <v>133</v>
      </c>
      <c r="D1590" s="147" t="s">
        <v>275</v>
      </c>
      <c r="E1590" s="147" t="s">
        <v>218</v>
      </c>
      <c r="F1590" s="149">
        <v>7462.9548127112475</v>
      </c>
      <c r="G1590" s="148" t="s">
        <v>271</v>
      </c>
    </row>
    <row r="1591" spans="1:7">
      <c r="A1591" s="147">
        <v>2018</v>
      </c>
      <c r="B1591" s="147" t="s">
        <v>270</v>
      </c>
      <c r="C1591" s="148" t="s">
        <v>133</v>
      </c>
      <c r="D1591" s="147" t="s">
        <v>276</v>
      </c>
      <c r="E1591" s="147" t="s">
        <v>218</v>
      </c>
      <c r="F1591" s="149">
        <v>3471.4477258513502</v>
      </c>
      <c r="G1591" s="148" t="s">
        <v>271</v>
      </c>
    </row>
    <row r="1592" spans="1:7">
      <c r="A1592" s="147">
        <v>2019</v>
      </c>
      <c r="B1592" s="147" t="s">
        <v>270</v>
      </c>
      <c r="C1592" s="148" t="s">
        <v>133</v>
      </c>
      <c r="D1592" s="147" t="s">
        <v>276</v>
      </c>
      <c r="E1592" s="147" t="s">
        <v>218</v>
      </c>
      <c r="F1592" s="149">
        <v>3518.4045698478853</v>
      </c>
      <c r="G1592" s="148" t="s">
        <v>271</v>
      </c>
    </row>
    <row r="1593" spans="1:7">
      <c r="A1593" s="147">
        <v>2020</v>
      </c>
      <c r="B1593" s="147" t="s">
        <v>270</v>
      </c>
      <c r="C1593" s="148" t="s">
        <v>133</v>
      </c>
      <c r="D1593" s="147" t="s">
        <v>276</v>
      </c>
      <c r="E1593" s="147" t="s">
        <v>218</v>
      </c>
      <c r="F1593" s="149">
        <v>3422.9115351551663</v>
      </c>
      <c r="G1593" s="148" t="s">
        <v>271</v>
      </c>
    </row>
    <row r="1594" spans="1:7">
      <c r="A1594" s="147">
        <v>2021</v>
      </c>
      <c r="B1594" s="147" t="s">
        <v>270</v>
      </c>
      <c r="C1594" s="148" t="s">
        <v>133</v>
      </c>
      <c r="D1594" s="147" t="s">
        <v>276</v>
      </c>
      <c r="E1594" s="147" t="s">
        <v>218</v>
      </c>
      <c r="F1594" s="149">
        <v>3738.3984082029842</v>
      </c>
      <c r="G1594" s="148" t="s">
        <v>271</v>
      </c>
    </row>
    <row r="1595" spans="1:7">
      <c r="A1595" s="147">
        <v>2022</v>
      </c>
      <c r="B1595" s="147" t="s">
        <v>270</v>
      </c>
      <c r="C1595" s="148" t="s">
        <v>133</v>
      </c>
      <c r="D1595" s="147" t="s">
        <v>276</v>
      </c>
      <c r="E1595" s="147" t="s">
        <v>218</v>
      </c>
      <c r="F1595" s="149">
        <v>3828.2149535414637</v>
      </c>
      <c r="G1595" s="148" t="s">
        <v>271</v>
      </c>
    </row>
    <row r="1596" spans="1:7">
      <c r="A1596" s="147" t="s">
        <v>185</v>
      </c>
      <c r="B1596" s="147" t="s">
        <v>270</v>
      </c>
      <c r="C1596" s="148" t="s">
        <v>133</v>
      </c>
      <c r="D1596" s="147" t="s">
        <v>276</v>
      </c>
      <c r="E1596" s="147" t="s">
        <v>218</v>
      </c>
      <c r="F1596" s="149">
        <v>4502.2258487267218</v>
      </c>
      <c r="G1596" s="148" t="s">
        <v>271</v>
      </c>
    </row>
    <row r="1597" spans="1:7">
      <c r="A1597" s="147" t="s">
        <v>107</v>
      </c>
      <c r="B1597" s="147" t="s">
        <v>270</v>
      </c>
      <c r="C1597" s="148" t="s">
        <v>133</v>
      </c>
      <c r="D1597" s="147" t="s">
        <v>276</v>
      </c>
      <c r="E1597" s="147" t="s">
        <v>218</v>
      </c>
      <c r="F1597" s="149">
        <v>4610.3994108105926</v>
      </c>
      <c r="G1597" s="148" t="s">
        <v>271</v>
      </c>
    </row>
    <row r="1598" spans="1:7">
      <c r="A1598" s="147">
        <v>2018</v>
      </c>
      <c r="B1598" s="147" t="s">
        <v>270</v>
      </c>
      <c r="C1598" s="148" t="s">
        <v>133</v>
      </c>
      <c r="D1598" s="147" t="s">
        <v>277</v>
      </c>
      <c r="E1598" s="147" t="s">
        <v>218</v>
      </c>
      <c r="F1598" s="149">
        <v>6529.2178672771315</v>
      </c>
      <c r="G1598" s="148" t="s">
        <v>271</v>
      </c>
    </row>
    <row r="1599" spans="1:7">
      <c r="A1599" s="147">
        <v>2019</v>
      </c>
      <c r="B1599" s="147" t="s">
        <v>270</v>
      </c>
      <c r="C1599" s="148" t="s">
        <v>133</v>
      </c>
      <c r="D1599" s="147" t="s">
        <v>277</v>
      </c>
      <c r="E1599" s="147" t="s">
        <v>218</v>
      </c>
      <c r="F1599" s="149">
        <v>6879.7326310528579</v>
      </c>
      <c r="G1599" s="148" t="s">
        <v>271</v>
      </c>
    </row>
    <row r="1600" spans="1:7">
      <c r="A1600" s="147">
        <v>2020</v>
      </c>
      <c r="B1600" s="147" t="s">
        <v>270</v>
      </c>
      <c r="C1600" s="148" t="s">
        <v>133</v>
      </c>
      <c r="D1600" s="147" t="s">
        <v>277</v>
      </c>
      <c r="E1600" s="147" t="s">
        <v>218</v>
      </c>
      <c r="F1600" s="149">
        <v>6134.723580921398</v>
      </c>
      <c r="G1600" s="148" t="s">
        <v>271</v>
      </c>
    </row>
    <row r="1601" spans="1:7">
      <c r="A1601" s="147">
        <v>2021</v>
      </c>
      <c r="B1601" s="147" t="s">
        <v>270</v>
      </c>
      <c r="C1601" s="148" t="s">
        <v>133</v>
      </c>
      <c r="D1601" s="147" t="s">
        <v>277</v>
      </c>
      <c r="E1601" s="147" t="s">
        <v>218</v>
      </c>
      <c r="F1601" s="149">
        <v>7132.2333324307865</v>
      </c>
      <c r="G1601" s="148" t="s">
        <v>271</v>
      </c>
    </row>
    <row r="1602" spans="1:7">
      <c r="A1602" s="147">
        <v>2022</v>
      </c>
      <c r="B1602" s="147" t="s">
        <v>270</v>
      </c>
      <c r="C1602" s="148" t="s">
        <v>133</v>
      </c>
      <c r="D1602" s="147" t="s">
        <v>277</v>
      </c>
      <c r="E1602" s="147" t="s">
        <v>218</v>
      </c>
      <c r="F1602" s="149">
        <v>7845.8574347707017</v>
      </c>
      <c r="G1602" s="148" t="s">
        <v>271</v>
      </c>
    </row>
    <row r="1603" spans="1:7">
      <c r="A1603" s="147" t="s">
        <v>185</v>
      </c>
      <c r="B1603" s="147" t="s">
        <v>270</v>
      </c>
      <c r="C1603" s="148" t="s">
        <v>133</v>
      </c>
      <c r="D1603" s="147" t="s">
        <v>277</v>
      </c>
      <c r="E1603" s="147" t="s">
        <v>218</v>
      </c>
      <c r="F1603" s="149">
        <v>8050.5478550413645</v>
      </c>
      <c r="G1603" s="148" t="s">
        <v>271</v>
      </c>
    </row>
    <row r="1604" spans="1:7">
      <c r="A1604" s="147" t="s">
        <v>107</v>
      </c>
      <c r="B1604" s="147" t="s">
        <v>270</v>
      </c>
      <c r="C1604" s="148" t="s">
        <v>133</v>
      </c>
      <c r="D1604" s="147" t="s">
        <v>277</v>
      </c>
      <c r="E1604" s="147" t="s">
        <v>218</v>
      </c>
      <c r="F1604" s="149">
        <v>9188.8575814151773</v>
      </c>
      <c r="G1604" s="148" t="s">
        <v>271</v>
      </c>
    </row>
    <row r="1605" spans="1:7">
      <c r="A1605" s="147">
        <v>2018</v>
      </c>
      <c r="B1605" s="147" t="s">
        <v>270</v>
      </c>
      <c r="C1605" s="148" t="s">
        <v>133</v>
      </c>
      <c r="D1605" s="147" t="s">
        <v>278</v>
      </c>
      <c r="E1605" s="147" t="s">
        <v>218</v>
      </c>
      <c r="F1605" s="149">
        <v>7500.4937270177452</v>
      </c>
      <c r="G1605" s="148" t="s">
        <v>271</v>
      </c>
    </row>
    <row r="1606" spans="1:7">
      <c r="A1606" s="147">
        <v>2019</v>
      </c>
      <c r="B1606" s="147" t="s">
        <v>270</v>
      </c>
      <c r="C1606" s="148" t="s">
        <v>133</v>
      </c>
      <c r="D1606" s="147" t="s">
        <v>278</v>
      </c>
      <c r="E1606" s="147" t="s">
        <v>218</v>
      </c>
      <c r="F1606" s="149">
        <v>9421.9204200235818</v>
      </c>
      <c r="G1606" s="148" t="s">
        <v>271</v>
      </c>
    </row>
    <row r="1607" spans="1:7">
      <c r="A1607" s="147">
        <v>2020</v>
      </c>
      <c r="B1607" s="147" t="s">
        <v>270</v>
      </c>
      <c r="C1607" s="148" t="s">
        <v>133</v>
      </c>
      <c r="D1607" s="147" t="s">
        <v>278</v>
      </c>
      <c r="E1607" s="147" t="s">
        <v>218</v>
      </c>
      <c r="F1607" s="149">
        <v>7957.0764481040078</v>
      </c>
      <c r="G1607" s="148" t="s">
        <v>271</v>
      </c>
    </row>
    <row r="1608" spans="1:7">
      <c r="A1608" s="147">
        <v>2021</v>
      </c>
      <c r="B1608" s="147" t="s">
        <v>270</v>
      </c>
      <c r="C1608" s="148" t="s">
        <v>133</v>
      </c>
      <c r="D1608" s="147" t="s">
        <v>278</v>
      </c>
      <c r="E1608" s="147" t="s">
        <v>218</v>
      </c>
      <c r="F1608" s="149">
        <v>9142.152649190577</v>
      </c>
      <c r="G1608" s="148" t="s">
        <v>271</v>
      </c>
    </row>
    <row r="1609" spans="1:7">
      <c r="A1609" s="147">
        <v>2022</v>
      </c>
      <c r="B1609" s="147" t="s">
        <v>270</v>
      </c>
      <c r="C1609" s="148" t="s">
        <v>133</v>
      </c>
      <c r="D1609" s="147" t="s">
        <v>278</v>
      </c>
      <c r="E1609" s="147" t="s">
        <v>218</v>
      </c>
      <c r="F1609" s="149">
        <v>10191.54905881227</v>
      </c>
      <c r="G1609" s="148" t="s">
        <v>271</v>
      </c>
    </row>
    <row r="1610" spans="1:7">
      <c r="A1610" s="147" t="s">
        <v>185</v>
      </c>
      <c r="B1610" s="147" t="s">
        <v>270</v>
      </c>
      <c r="C1610" s="148" t="s">
        <v>133</v>
      </c>
      <c r="D1610" s="147" t="s">
        <v>278</v>
      </c>
      <c r="E1610" s="147" t="s">
        <v>218</v>
      </c>
      <c r="F1610" s="149">
        <v>9773.3183016142084</v>
      </c>
      <c r="G1610" s="148" t="s">
        <v>271</v>
      </c>
    </row>
    <row r="1611" spans="1:7">
      <c r="A1611" s="147" t="s">
        <v>107</v>
      </c>
      <c r="B1611" s="147" t="s">
        <v>270</v>
      </c>
      <c r="C1611" s="148" t="s">
        <v>133</v>
      </c>
      <c r="D1611" s="147" t="s">
        <v>278</v>
      </c>
      <c r="E1611" s="147" t="s">
        <v>218</v>
      </c>
      <c r="F1611" s="149">
        <v>11307.319163227856</v>
      </c>
      <c r="G1611" s="148" t="s">
        <v>271</v>
      </c>
    </row>
    <row r="1612" spans="1:7">
      <c r="A1612" s="147">
        <v>2018</v>
      </c>
      <c r="B1612" s="147" t="s">
        <v>270</v>
      </c>
      <c r="C1612" s="148" t="s">
        <v>133</v>
      </c>
      <c r="D1612" s="147" t="s">
        <v>279</v>
      </c>
      <c r="E1612" s="147" t="s">
        <v>218</v>
      </c>
      <c r="F1612" s="149">
        <v>25194.852402851982</v>
      </c>
      <c r="G1612" s="148" t="s">
        <v>271</v>
      </c>
    </row>
    <row r="1613" spans="1:7">
      <c r="A1613" s="147">
        <v>2019</v>
      </c>
      <c r="B1613" s="147" t="s">
        <v>270</v>
      </c>
      <c r="C1613" s="148" t="s">
        <v>133</v>
      </c>
      <c r="D1613" s="147" t="s">
        <v>279</v>
      </c>
      <c r="E1613" s="147" t="s">
        <v>218</v>
      </c>
      <c r="F1613" s="149">
        <v>25408.24142000451</v>
      </c>
      <c r="G1613" s="148" t="s">
        <v>271</v>
      </c>
    </row>
    <row r="1614" spans="1:7">
      <c r="A1614" s="147">
        <v>2020</v>
      </c>
      <c r="B1614" s="147" t="s">
        <v>270</v>
      </c>
      <c r="C1614" s="148" t="s">
        <v>133</v>
      </c>
      <c r="D1614" s="147" t="s">
        <v>279</v>
      </c>
      <c r="E1614" s="147" t="s">
        <v>218</v>
      </c>
      <c r="F1614" s="149">
        <v>19502.298153780728</v>
      </c>
      <c r="G1614" s="148" t="s">
        <v>271</v>
      </c>
    </row>
    <row r="1615" spans="1:7">
      <c r="A1615" s="147">
        <v>2021</v>
      </c>
      <c r="B1615" s="147" t="s">
        <v>270</v>
      </c>
      <c r="C1615" s="148" t="s">
        <v>133</v>
      </c>
      <c r="D1615" s="147" t="s">
        <v>279</v>
      </c>
      <c r="E1615" s="147" t="s">
        <v>218</v>
      </c>
      <c r="F1615" s="149">
        <v>22597.823031361713</v>
      </c>
      <c r="G1615" s="148" t="s">
        <v>271</v>
      </c>
    </row>
    <row r="1616" spans="1:7">
      <c r="A1616" s="147">
        <v>2022</v>
      </c>
      <c r="B1616" s="147" t="s">
        <v>270</v>
      </c>
      <c r="C1616" s="148" t="s">
        <v>133</v>
      </c>
      <c r="D1616" s="147" t="s">
        <v>279</v>
      </c>
      <c r="E1616" s="147" t="s">
        <v>218</v>
      </c>
      <c r="F1616" s="149">
        <v>25562.565352244372</v>
      </c>
      <c r="G1616" s="148" t="s">
        <v>271</v>
      </c>
    </row>
    <row r="1617" spans="1:7">
      <c r="A1617" s="147" t="s">
        <v>185</v>
      </c>
      <c r="B1617" s="147" t="s">
        <v>270</v>
      </c>
      <c r="C1617" s="148" t="s">
        <v>133</v>
      </c>
      <c r="D1617" s="147" t="s">
        <v>279</v>
      </c>
      <c r="E1617" s="147" t="s">
        <v>218</v>
      </c>
      <c r="F1617" s="149">
        <v>28536.732217364115</v>
      </c>
      <c r="G1617" s="148" t="s">
        <v>271</v>
      </c>
    </row>
    <row r="1618" spans="1:7">
      <c r="A1618" s="147" t="s">
        <v>107</v>
      </c>
      <c r="B1618" s="147" t="s">
        <v>270</v>
      </c>
      <c r="C1618" s="148" t="s">
        <v>133</v>
      </c>
      <c r="D1618" s="147" t="s">
        <v>279</v>
      </c>
      <c r="E1618" s="147" t="s">
        <v>218</v>
      </c>
      <c r="F1618" s="149">
        <v>29956.854178323196</v>
      </c>
      <c r="G1618" s="148" t="s">
        <v>271</v>
      </c>
    </row>
    <row r="1619" spans="1:7">
      <c r="A1619" s="147">
        <v>2018</v>
      </c>
      <c r="B1619" s="147" t="s">
        <v>270</v>
      </c>
      <c r="C1619" s="148" t="s">
        <v>133</v>
      </c>
      <c r="D1619" s="147" t="s">
        <v>280</v>
      </c>
      <c r="E1619" s="147" t="s">
        <v>218</v>
      </c>
      <c r="F1619" s="149">
        <v>10450.750719933927</v>
      </c>
      <c r="G1619" s="148" t="s">
        <v>271</v>
      </c>
    </row>
    <row r="1620" spans="1:7">
      <c r="A1620" s="147">
        <v>2019</v>
      </c>
      <c r="B1620" s="147" t="s">
        <v>270</v>
      </c>
      <c r="C1620" s="148" t="s">
        <v>133</v>
      </c>
      <c r="D1620" s="147" t="s">
        <v>280</v>
      </c>
      <c r="E1620" s="147" t="s">
        <v>218</v>
      </c>
      <c r="F1620" s="149">
        <v>11865.215513906543</v>
      </c>
      <c r="G1620" s="148" t="s">
        <v>271</v>
      </c>
    </row>
    <row r="1621" spans="1:7">
      <c r="A1621" s="147">
        <v>2020</v>
      </c>
      <c r="B1621" s="147" t="s">
        <v>270</v>
      </c>
      <c r="C1621" s="148" t="s">
        <v>133</v>
      </c>
      <c r="D1621" s="147" t="s">
        <v>280</v>
      </c>
      <c r="E1621" s="147" t="s">
        <v>218</v>
      </c>
      <c r="F1621" s="149">
        <v>10147.568557578263</v>
      </c>
      <c r="G1621" s="148" t="s">
        <v>271</v>
      </c>
    </row>
    <row r="1622" spans="1:7">
      <c r="A1622" s="147">
        <v>2021</v>
      </c>
      <c r="B1622" s="147" t="s">
        <v>270</v>
      </c>
      <c r="C1622" s="148" t="s">
        <v>133</v>
      </c>
      <c r="D1622" s="147" t="s">
        <v>280</v>
      </c>
      <c r="E1622" s="147" t="s">
        <v>218</v>
      </c>
      <c r="F1622" s="149">
        <v>11509.79266932819</v>
      </c>
      <c r="G1622" s="148" t="s">
        <v>271</v>
      </c>
    </row>
    <row r="1623" spans="1:7">
      <c r="A1623" s="147">
        <v>2022</v>
      </c>
      <c r="B1623" s="147" t="s">
        <v>270</v>
      </c>
      <c r="C1623" s="148" t="s">
        <v>133</v>
      </c>
      <c r="D1623" s="147" t="s">
        <v>280</v>
      </c>
      <c r="E1623" s="147" t="s">
        <v>218</v>
      </c>
      <c r="F1623" s="149">
        <v>12348.574133271046</v>
      </c>
      <c r="G1623" s="148" t="s">
        <v>271</v>
      </c>
    </row>
    <row r="1624" spans="1:7">
      <c r="A1624" s="147" t="s">
        <v>185</v>
      </c>
      <c r="B1624" s="147" t="s">
        <v>270</v>
      </c>
      <c r="C1624" s="148" t="s">
        <v>133</v>
      </c>
      <c r="D1624" s="147" t="s">
        <v>280</v>
      </c>
      <c r="E1624" s="147" t="s">
        <v>218</v>
      </c>
      <c r="F1624" s="149">
        <v>14357.862723919161</v>
      </c>
      <c r="G1624" s="148" t="s">
        <v>271</v>
      </c>
    </row>
    <row r="1625" spans="1:7">
      <c r="A1625" s="147" t="s">
        <v>107</v>
      </c>
      <c r="B1625" s="147" t="s">
        <v>270</v>
      </c>
      <c r="C1625" s="148" t="s">
        <v>133</v>
      </c>
      <c r="D1625" s="147" t="s">
        <v>280</v>
      </c>
      <c r="E1625" s="147" t="s">
        <v>218</v>
      </c>
      <c r="F1625" s="149">
        <v>17285.922588014451</v>
      </c>
      <c r="G1625" s="148" t="s">
        <v>271</v>
      </c>
    </row>
    <row r="1626" spans="1:7">
      <c r="A1626" s="147">
        <v>2018</v>
      </c>
      <c r="B1626" s="147" t="s">
        <v>270</v>
      </c>
      <c r="C1626" s="148" t="s">
        <v>133</v>
      </c>
      <c r="D1626" s="147" t="s">
        <v>281</v>
      </c>
      <c r="E1626" s="147" t="s">
        <v>218</v>
      </c>
      <c r="F1626" s="149">
        <v>7233.1053010719579</v>
      </c>
      <c r="G1626" s="148" t="s">
        <v>271</v>
      </c>
    </row>
    <row r="1627" spans="1:7">
      <c r="A1627" s="147">
        <v>2019</v>
      </c>
      <c r="B1627" s="147" t="s">
        <v>270</v>
      </c>
      <c r="C1627" s="148" t="s">
        <v>133</v>
      </c>
      <c r="D1627" s="147" t="s">
        <v>281</v>
      </c>
      <c r="E1627" s="147" t="s">
        <v>218</v>
      </c>
      <c r="F1627" s="149">
        <v>7199.2960841103777</v>
      </c>
      <c r="G1627" s="148" t="s">
        <v>271</v>
      </c>
    </row>
    <row r="1628" spans="1:7">
      <c r="A1628" s="147">
        <v>2020</v>
      </c>
      <c r="B1628" s="147" t="s">
        <v>270</v>
      </c>
      <c r="C1628" s="148" t="s">
        <v>133</v>
      </c>
      <c r="D1628" s="147" t="s">
        <v>281</v>
      </c>
      <c r="E1628" s="147" t="s">
        <v>218</v>
      </c>
      <c r="F1628" s="149">
        <v>6448.7080328443108</v>
      </c>
      <c r="G1628" s="148" t="s">
        <v>271</v>
      </c>
    </row>
    <row r="1629" spans="1:7">
      <c r="A1629" s="147">
        <v>2021</v>
      </c>
      <c r="B1629" s="147" t="s">
        <v>270</v>
      </c>
      <c r="C1629" s="148" t="s">
        <v>133</v>
      </c>
      <c r="D1629" s="147" t="s">
        <v>281</v>
      </c>
      <c r="E1629" s="147" t="s">
        <v>218</v>
      </c>
      <c r="F1629" s="149">
        <v>7648.2174181185765</v>
      </c>
      <c r="G1629" s="148" t="s">
        <v>271</v>
      </c>
    </row>
    <row r="1630" spans="1:7">
      <c r="A1630" s="147">
        <v>2022</v>
      </c>
      <c r="B1630" s="147" t="s">
        <v>270</v>
      </c>
      <c r="C1630" s="148" t="s">
        <v>133</v>
      </c>
      <c r="D1630" s="147" t="s">
        <v>281</v>
      </c>
      <c r="E1630" s="147" t="s">
        <v>218</v>
      </c>
      <c r="F1630" s="149">
        <v>8313.7864433344148</v>
      </c>
      <c r="G1630" s="148" t="s">
        <v>271</v>
      </c>
    </row>
    <row r="1631" spans="1:7">
      <c r="A1631" s="147" t="s">
        <v>185</v>
      </c>
      <c r="B1631" s="147" t="s">
        <v>270</v>
      </c>
      <c r="C1631" s="148" t="s">
        <v>133</v>
      </c>
      <c r="D1631" s="147" t="s">
        <v>281</v>
      </c>
      <c r="E1631" s="147" t="s">
        <v>218</v>
      </c>
      <c r="F1631" s="149">
        <v>8635.9811144420473</v>
      </c>
      <c r="G1631" s="148" t="s">
        <v>271</v>
      </c>
    </row>
    <row r="1632" spans="1:7">
      <c r="A1632" s="147" t="s">
        <v>107</v>
      </c>
      <c r="B1632" s="147" t="s">
        <v>270</v>
      </c>
      <c r="C1632" s="148" t="s">
        <v>133</v>
      </c>
      <c r="D1632" s="147" t="s">
        <v>281</v>
      </c>
      <c r="E1632" s="147" t="s">
        <v>218</v>
      </c>
      <c r="F1632" s="149">
        <v>9025.8124619203554</v>
      </c>
      <c r="G1632" s="148" t="s">
        <v>271</v>
      </c>
    </row>
    <row r="1633" spans="1:7">
      <c r="A1633" s="147">
        <v>2018</v>
      </c>
      <c r="B1633" s="147" t="s">
        <v>270</v>
      </c>
      <c r="C1633" s="148" t="s">
        <v>133</v>
      </c>
      <c r="D1633" s="147" t="s">
        <v>282</v>
      </c>
      <c r="E1633" s="147" t="s">
        <v>218</v>
      </c>
      <c r="F1633" s="149">
        <v>16186.579386625546</v>
      </c>
      <c r="G1633" s="148" t="s">
        <v>271</v>
      </c>
    </row>
    <row r="1634" spans="1:7">
      <c r="A1634" s="147">
        <v>2019</v>
      </c>
      <c r="B1634" s="147" t="s">
        <v>270</v>
      </c>
      <c r="C1634" s="148" t="s">
        <v>133</v>
      </c>
      <c r="D1634" s="147" t="s">
        <v>282</v>
      </c>
      <c r="E1634" s="147" t="s">
        <v>218</v>
      </c>
      <c r="F1634" s="149">
        <v>16539.977925650335</v>
      </c>
      <c r="G1634" s="148" t="s">
        <v>271</v>
      </c>
    </row>
    <row r="1635" spans="1:7">
      <c r="A1635" s="147">
        <v>2020</v>
      </c>
      <c r="B1635" s="147" t="s">
        <v>270</v>
      </c>
      <c r="C1635" s="148" t="s">
        <v>133</v>
      </c>
      <c r="D1635" s="147" t="s">
        <v>282</v>
      </c>
      <c r="E1635" s="147" t="s">
        <v>218</v>
      </c>
      <c r="F1635" s="149">
        <v>13336.413818285058</v>
      </c>
      <c r="G1635" s="148" t="s">
        <v>271</v>
      </c>
    </row>
    <row r="1636" spans="1:7">
      <c r="A1636" s="147">
        <v>2021</v>
      </c>
      <c r="B1636" s="147" t="s">
        <v>270</v>
      </c>
      <c r="C1636" s="148" t="s">
        <v>133</v>
      </c>
      <c r="D1636" s="147" t="s">
        <v>282</v>
      </c>
      <c r="E1636" s="147" t="s">
        <v>218</v>
      </c>
      <c r="F1636" s="149">
        <v>15538.409940466219</v>
      </c>
      <c r="G1636" s="148" t="s">
        <v>271</v>
      </c>
    </row>
    <row r="1637" spans="1:7">
      <c r="A1637" s="147">
        <v>2022</v>
      </c>
      <c r="B1637" s="147" t="s">
        <v>270</v>
      </c>
      <c r="C1637" s="148" t="s">
        <v>133</v>
      </c>
      <c r="D1637" s="147" t="s">
        <v>282</v>
      </c>
      <c r="E1637" s="147" t="s">
        <v>218</v>
      </c>
      <c r="F1637" s="149">
        <v>17399.795439277728</v>
      </c>
      <c r="G1637" s="148" t="s">
        <v>271</v>
      </c>
    </row>
    <row r="1638" spans="1:7">
      <c r="A1638" s="147" t="s">
        <v>185</v>
      </c>
      <c r="B1638" s="147" t="s">
        <v>270</v>
      </c>
      <c r="C1638" s="148" t="s">
        <v>133</v>
      </c>
      <c r="D1638" s="147" t="s">
        <v>282</v>
      </c>
      <c r="E1638" s="147" t="s">
        <v>218</v>
      </c>
      <c r="F1638" s="149">
        <v>18822.251691642614</v>
      </c>
      <c r="G1638" s="148" t="s">
        <v>271</v>
      </c>
    </row>
    <row r="1639" spans="1:7">
      <c r="A1639" s="147" t="s">
        <v>107</v>
      </c>
      <c r="B1639" s="147" t="s">
        <v>270</v>
      </c>
      <c r="C1639" s="148" t="s">
        <v>133</v>
      </c>
      <c r="D1639" s="147" t="s">
        <v>282</v>
      </c>
      <c r="E1639" s="147" t="s">
        <v>218</v>
      </c>
      <c r="F1639" s="149">
        <v>19186.912856050898</v>
      </c>
      <c r="G1639" s="148" t="s">
        <v>271</v>
      </c>
    </row>
    <row r="1640" spans="1:7">
      <c r="C1640" s="148"/>
    </row>
    <row r="1641" spans="1:7">
      <c r="C1641" s="148"/>
    </row>
    <row r="1642" spans="1:7">
      <c r="C1642" s="148"/>
    </row>
    <row r="1643" spans="1:7">
      <c r="C1643" s="148"/>
    </row>
    <row r="1644" spans="1:7">
      <c r="C1644" s="148"/>
    </row>
    <row r="1645" spans="1:7">
      <c r="C1645" s="148"/>
    </row>
    <row r="1646" spans="1:7">
      <c r="C1646" s="148"/>
    </row>
    <row r="1647" spans="1:7">
      <c r="C1647" s="148"/>
    </row>
    <row r="1648" spans="1:7">
      <c r="C1648" s="148"/>
    </row>
    <row r="1649" spans="3:3">
      <c r="C1649" s="148"/>
    </row>
    <row r="1650" spans="3:3">
      <c r="C1650" s="148"/>
    </row>
    <row r="1651" spans="3:3">
      <c r="C1651" s="148"/>
    </row>
    <row r="1652" spans="3:3">
      <c r="C1652" s="148"/>
    </row>
    <row r="1653" spans="3:3">
      <c r="C1653" s="148"/>
    </row>
    <row r="1654" spans="3:3">
      <c r="C1654" s="148"/>
    </row>
    <row r="1655" spans="3:3">
      <c r="C1655" s="148"/>
    </row>
    <row r="1656" spans="3:3">
      <c r="C1656" s="148"/>
    </row>
    <row r="1657" spans="3:3">
      <c r="C1657" s="148"/>
    </row>
    <row r="1658" spans="3:3">
      <c r="C1658" s="148"/>
    </row>
    <row r="1659" spans="3:3">
      <c r="C1659" s="148"/>
    </row>
    <row r="1660" spans="3:3">
      <c r="C1660" s="148"/>
    </row>
    <row r="1661" spans="3:3">
      <c r="C1661" s="148"/>
    </row>
    <row r="1662" spans="3:3">
      <c r="C1662" s="148"/>
    </row>
    <row r="1663" spans="3:3">
      <c r="C1663" s="148"/>
    </row>
    <row r="1664" spans="3:3">
      <c r="C1664" s="148"/>
    </row>
    <row r="1665" spans="3:3">
      <c r="C1665" s="148"/>
    </row>
    <row r="1666" spans="3:3">
      <c r="C1666" s="148"/>
    </row>
    <row r="1667" spans="3:3">
      <c r="C1667" s="148"/>
    </row>
    <row r="1668" spans="3:3">
      <c r="C1668" s="148"/>
    </row>
    <row r="1669" spans="3:3">
      <c r="C1669" s="148"/>
    </row>
    <row r="1670" spans="3:3">
      <c r="C1670" s="148"/>
    </row>
    <row r="1671" spans="3:3">
      <c r="C1671" s="148"/>
    </row>
    <row r="1672" spans="3:3">
      <c r="C1672" s="148"/>
    </row>
    <row r="1673" spans="3:3">
      <c r="C1673" s="148"/>
    </row>
    <row r="1674" spans="3:3">
      <c r="C1674" s="148"/>
    </row>
    <row r="1675" spans="3:3">
      <c r="C1675" s="148"/>
    </row>
    <row r="1676" spans="3:3">
      <c r="C1676" s="148"/>
    </row>
    <row r="1677" spans="3:3">
      <c r="C1677" s="148"/>
    </row>
    <row r="1678" spans="3:3">
      <c r="C1678" s="148"/>
    </row>
    <row r="1679" spans="3:3">
      <c r="C1679" s="148"/>
    </row>
    <row r="1680" spans="3:3">
      <c r="C1680" s="148"/>
    </row>
    <row r="1681" spans="3:3">
      <c r="C1681" s="148"/>
    </row>
    <row r="1682" spans="3:3">
      <c r="C1682" s="148"/>
    </row>
    <row r="1683" spans="3:3">
      <c r="C1683" s="148"/>
    </row>
    <row r="1684" spans="3:3">
      <c r="C1684" s="148"/>
    </row>
    <row r="1685" spans="3:3">
      <c r="C1685" s="148"/>
    </row>
    <row r="1686" spans="3:3">
      <c r="C1686" s="148"/>
    </row>
    <row r="1687" spans="3:3">
      <c r="C1687" s="148"/>
    </row>
    <row r="1688" spans="3:3">
      <c r="C1688" s="148"/>
    </row>
    <row r="1689" spans="3:3">
      <c r="C1689" s="148"/>
    </row>
    <row r="1690" spans="3:3">
      <c r="C1690" s="148"/>
    </row>
    <row r="1691" spans="3:3">
      <c r="C1691" s="148"/>
    </row>
    <row r="1692" spans="3:3">
      <c r="C1692" s="148"/>
    </row>
    <row r="1693" spans="3:3">
      <c r="C1693" s="148"/>
    </row>
    <row r="1694" spans="3:3">
      <c r="C1694" s="148"/>
    </row>
    <row r="1695" spans="3:3">
      <c r="C1695" s="148"/>
    </row>
    <row r="1696" spans="3:3">
      <c r="C1696" s="148"/>
    </row>
    <row r="1697" spans="3:3">
      <c r="C1697" s="148"/>
    </row>
    <row r="1698" spans="3:3">
      <c r="C1698" s="148"/>
    </row>
    <row r="1699" spans="3:3">
      <c r="C1699" s="148"/>
    </row>
    <row r="1700" spans="3:3">
      <c r="C1700" s="148"/>
    </row>
    <row r="1701" spans="3:3">
      <c r="C1701" s="148"/>
    </row>
    <row r="1702" spans="3:3">
      <c r="C1702" s="148"/>
    </row>
    <row r="1703" spans="3:3">
      <c r="C1703" s="148"/>
    </row>
    <row r="1704" spans="3:3">
      <c r="C1704" s="148"/>
    </row>
    <row r="1705" spans="3:3">
      <c r="C1705" s="148"/>
    </row>
    <row r="1706" spans="3:3">
      <c r="C1706" s="148"/>
    </row>
    <row r="1707" spans="3:3">
      <c r="C1707" s="148"/>
    </row>
    <row r="1708" spans="3:3">
      <c r="C1708" s="148"/>
    </row>
    <row r="1709" spans="3:3">
      <c r="C1709" s="148"/>
    </row>
    <row r="1710" spans="3:3">
      <c r="C1710" s="148"/>
    </row>
    <row r="1711" spans="3:3">
      <c r="C1711" s="148"/>
    </row>
    <row r="1712" spans="3:3">
      <c r="C1712" s="148"/>
    </row>
    <row r="1713" spans="3:3">
      <c r="C1713" s="148"/>
    </row>
    <row r="1714" spans="3:3">
      <c r="C1714" s="148"/>
    </row>
    <row r="1715" spans="3:3">
      <c r="C1715" s="148"/>
    </row>
    <row r="1716" spans="3:3">
      <c r="C1716" s="148"/>
    </row>
    <row r="1717" spans="3:3">
      <c r="C1717" s="148"/>
    </row>
    <row r="1718" spans="3:3">
      <c r="C1718" s="148"/>
    </row>
    <row r="1719" spans="3:3">
      <c r="C1719" s="148"/>
    </row>
    <row r="1720" spans="3:3">
      <c r="C1720" s="148"/>
    </row>
    <row r="1721" spans="3:3">
      <c r="C1721" s="148"/>
    </row>
    <row r="1722" spans="3:3">
      <c r="C1722" s="148"/>
    </row>
    <row r="1723" spans="3:3">
      <c r="C1723" s="148"/>
    </row>
    <row r="1724" spans="3:3">
      <c r="C1724" s="148"/>
    </row>
    <row r="1725" spans="3:3">
      <c r="C1725" s="148"/>
    </row>
    <row r="1726" spans="3:3">
      <c r="C1726" s="148"/>
    </row>
    <row r="1727" spans="3:3">
      <c r="C1727" s="148"/>
    </row>
    <row r="1728" spans="3:3">
      <c r="C1728" s="148"/>
    </row>
    <row r="1729" spans="3:3">
      <c r="C1729" s="148"/>
    </row>
    <row r="1730" spans="3:3">
      <c r="C1730" s="148"/>
    </row>
    <row r="1731" spans="3:3">
      <c r="C1731" s="148"/>
    </row>
    <row r="1732" spans="3:3">
      <c r="C1732" s="148"/>
    </row>
    <row r="1733" spans="3:3">
      <c r="C1733" s="148"/>
    </row>
    <row r="1734" spans="3:3">
      <c r="C1734" s="148"/>
    </row>
    <row r="1735" spans="3:3">
      <c r="C1735" s="148"/>
    </row>
    <row r="1736" spans="3:3">
      <c r="C1736" s="148"/>
    </row>
    <row r="1737" spans="3:3">
      <c r="C1737" s="148"/>
    </row>
    <row r="1738" spans="3:3">
      <c r="C1738" s="148"/>
    </row>
    <row r="1739" spans="3:3">
      <c r="C1739" s="148"/>
    </row>
    <row r="1740" spans="3:3">
      <c r="C1740" s="148"/>
    </row>
    <row r="1741" spans="3:3">
      <c r="C1741" s="148"/>
    </row>
    <row r="1742" spans="3:3">
      <c r="C1742" s="148"/>
    </row>
    <row r="1743" spans="3:3">
      <c r="C1743" s="148"/>
    </row>
    <row r="1744" spans="3:3">
      <c r="C1744" s="148"/>
    </row>
    <row r="1745" spans="3:3">
      <c r="C1745" s="148"/>
    </row>
    <row r="1746" spans="3:3">
      <c r="C1746" s="148"/>
    </row>
    <row r="1747" spans="3:3">
      <c r="C1747" s="148"/>
    </row>
    <row r="1748" spans="3:3">
      <c r="C1748" s="148"/>
    </row>
    <row r="1749" spans="3:3">
      <c r="C1749" s="148"/>
    </row>
    <row r="1750" spans="3:3">
      <c r="C1750" s="148"/>
    </row>
    <row r="1751" spans="3:3">
      <c r="C1751" s="148"/>
    </row>
    <row r="1752" spans="3:3">
      <c r="C1752" s="148"/>
    </row>
    <row r="1753" spans="3:3">
      <c r="C1753" s="148"/>
    </row>
    <row r="1754" spans="3:3">
      <c r="C1754" s="148"/>
    </row>
    <row r="1755" spans="3:3">
      <c r="C1755" s="148"/>
    </row>
    <row r="1756" spans="3:3">
      <c r="C1756" s="148"/>
    </row>
    <row r="1757" spans="3:3">
      <c r="C1757" s="148"/>
    </row>
    <row r="1758" spans="3:3">
      <c r="C1758" s="148"/>
    </row>
    <row r="1759" spans="3:3">
      <c r="C1759" s="148"/>
    </row>
    <row r="1760" spans="3:3">
      <c r="C1760" s="148"/>
    </row>
    <row r="1761" spans="3:3">
      <c r="C1761" s="148"/>
    </row>
    <row r="1762" spans="3:3">
      <c r="C1762" s="148"/>
    </row>
    <row r="1763" spans="3:3">
      <c r="C1763" s="148"/>
    </row>
    <row r="1764" spans="3:3">
      <c r="C1764" s="148"/>
    </row>
    <row r="1765" spans="3:3">
      <c r="C1765" s="148"/>
    </row>
    <row r="1766" spans="3:3">
      <c r="C1766" s="148"/>
    </row>
    <row r="1767" spans="3:3">
      <c r="C1767" s="148"/>
    </row>
    <row r="1768" spans="3:3">
      <c r="C1768" s="148"/>
    </row>
    <row r="1769" spans="3:3">
      <c r="C1769" s="148"/>
    </row>
    <row r="1770" spans="3:3">
      <c r="C1770" s="148"/>
    </row>
    <row r="1771" spans="3:3">
      <c r="C1771" s="148"/>
    </row>
    <row r="1772" spans="3:3">
      <c r="C1772" s="148"/>
    </row>
    <row r="1773" spans="3:3">
      <c r="C1773" s="148"/>
    </row>
    <row r="1774" spans="3:3">
      <c r="C1774" s="148"/>
    </row>
    <row r="1775" spans="3:3">
      <c r="C1775" s="148"/>
    </row>
    <row r="1776" spans="3:3">
      <c r="C1776" s="148"/>
    </row>
    <row r="1777" spans="3:3">
      <c r="C1777" s="148"/>
    </row>
    <row r="1778" spans="3:3">
      <c r="C1778" s="148"/>
    </row>
    <row r="1779" spans="3:3">
      <c r="C1779" s="148"/>
    </row>
    <row r="1780" spans="3:3">
      <c r="C1780" s="148"/>
    </row>
    <row r="1781" spans="3:3">
      <c r="C1781" s="148"/>
    </row>
    <row r="1782" spans="3:3">
      <c r="C1782" s="148"/>
    </row>
    <row r="1783" spans="3:3">
      <c r="C1783" s="148"/>
    </row>
    <row r="1784" spans="3:3">
      <c r="C1784" s="148"/>
    </row>
    <row r="1785" spans="3:3">
      <c r="C1785" s="148"/>
    </row>
    <row r="1786" spans="3:3">
      <c r="C1786" s="148"/>
    </row>
    <row r="1787" spans="3:3">
      <c r="C1787" s="148"/>
    </row>
    <row r="1788" spans="3:3">
      <c r="C1788" s="148"/>
    </row>
    <row r="1789" spans="3:3">
      <c r="C1789" s="148"/>
    </row>
    <row r="1790" spans="3:3">
      <c r="C1790" s="148"/>
    </row>
    <row r="1791" spans="3:3">
      <c r="C1791" s="148"/>
    </row>
    <row r="1792" spans="3:3">
      <c r="C1792" s="148"/>
    </row>
    <row r="1793" spans="3:3">
      <c r="C1793" s="148"/>
    </row>
    <row r="1794" spans="3:3">
      <c r="C1794" s="148"/>
    </row>
    <row r="1795" spans="3:3">
      <c r="C1795" s="148"/>
    </row>
    <row r="1796" spans="3:3">
      <c r="C1796" s="148"/>
    </row>
    <row r="1797" spans="3:3">
      <c r="C1797" s="148"/>
    </row>
    <row r="1798" spans="3:3">
      <c r="C1798" s="148"/>
    </row>
    <row r="1799" spans="3:3">
      <c r="C1799" s="148"/>
    </row>
    <row r="1800" spans="3:3">
      <c r="C1800" s="148"/>
    </row>
    <row r="1801" spans="3:3">
      <c r="C1801" s="148"/>
    </row>
    <row r="1802" spans="3:3">
      <c r="C1802" s="148"/>
    </row>
    <row r="1803" spans="3:3">
      <c r="C1803" s="148"/>
    </row>
    <row r="1804" spans="3:3">
      <c r="C1804" s="148"/>
    </row>
    <row r="1805" spans="3:3">
      <c r="C1805" s="148"/>
    </row>
    <row r="1806" spans="3:3">
      <c r="C1806" s="148"/>
    </row>
    <row r="1807" spans="3:3">
      <c r="C1807" s="148"/>
    </row>
    <row r="1808" spans="3:3">
      <c r="C1808" s="148"/>
    </row>
    <row r="1809" spans="3:3">
      <c r="C1809" s="148"/>
    </row>
    <row r="1810" spans="3:3">
      <c r="C1810" s="148"/>
    </row>
    <row r="1811" spans="3:3">
      <c r="C1811" s="148"/>
    </row>
    <row r="1812" spans="3:3">
      <c r="C1812" s="148"/>
    </row>
    <row r="1813" spans="3:3">
      <c r="C1813" s="148"/>
    </row>
    <row r="1814" spans="3:3">
      <c r="C1814" s="148"/>
    </row>
    <row r="1815" spans="3:3">
      <c r="C1815" s="148"/>
    </row>
    <row r="1816" spans="3:3">
      <c r="C1816" s="148"/>
    </row>
    <row r="1817" spans="3:3">
      <c r="C1817" s="148"/>
    </row>
    <row r="1818" spans="3:3">
      <c r="C1818" s="148"/>
    </row>
    <row r="1819" spans="3:3">
      <c r="C1819" s="148"/>
    </row>
    <row r="1820" spans="3:3">
      <c r="C1820" s="148"/>
    </row>
    <row r="1821" spans="3:3">
      <c r="C1821" s="148"/>
    </row>
    <row r="1822" spans="3:3">
      <c r="C1822" s="148"/>
    </row>
    <row r="1823" spans="3:3">
      <c r="C1823" s="148"/>
    </row>
    <row r="1824" spans="3:3">
      <c r="C1824" s="148"/>
    </row>
    <row r="1825" spans="3:3">
      <c r="C1825" s="148"/>
    </row>
    <row r="1826" spans="3:3">
      <c r="C1826" s="148"/>
    </row>
    <row r="1827" spans="3:3">
      <c r="C1827" s="148"/>
    </row>
    <row r="1828" spans="3:3">
      <c r="C1828" s="148"/>
    </row>
    <row r="1829" spans="3:3">
      <c r="C1829" s="148"/>
    </row>
    <row r="1830" spans="3:3">
      <c r="C1830" s="148"/>
    </row>
    <row r="1831" spans="3:3">
      <c r="C1831" s="148"/>
    </row>
    <row r="1832" spans="3:3">
      <c r="C1832" s="148"/>
    </row>
    <row r="1833" spans="3:3">
      <c r="C1833" s="148"/>
    </row>
    <row r="1834" spans="3:3">
      <c r="C1834" s="148"/>
    </row>
    <row r="1835" spans="3:3">
      <c r="C1835" s="148"/>
    </row>
    <row r="1836" spans="3:3">
      <c r="C1836" s="148"/>
    </row>
    <row r="1837" spans="3:3">
      <c r="C1837" s="148"/>
    </row>
    <row r="1838" spans="3:3">
      <c r="C1838" s="148"/>
    </row>
    <row r="1839" spans="3:3">
      <c r="C1839" s="148"/>
    </row>
    <row r="1840" spans="3:3">
      <c r="C1840" s="148"/>
    </row>
    <row r="1841" spans="3:3">
      <c r="C1841" s="148"/>
    </row>
    <row r="1842" spans="3:3">
      <c r="C1842" s="148"/>
    </row>
    <row r="1843" spans="3:3">
      <c r="C1843" s="148"/>
    </row>
    <row r="1844" spans="3:3">
      <c r="C1844" s="148"/>
    </row>
    <row r="1845" spans="3:3">
      <c r="C1845" s="148"/>
    </row>
    <row r="1846" spans="3:3">
      <c r="C1846" s="148"/>
    </row>
    <row r="1847" spans="3:3">
      <c r="C1847" s="148"/>
    </row>
    <row r="1848" spans="3:3">
      <c r="C1848" s="148"/>
    </row>
    <row r="1849" spans="3:3">
      <c r="C1849" s="148"/>
    </row>
    <row r="1850" spans="3:3">
      <c r="C1850" s="148"/>
    </row>
    <row r="1851" spans="3:3">
      <c r="C1851" s="148"/>
    </row>
    <row r="1852" spans="3:3">
      <c r="C1852" s="148"/>
    </row>
    <row r="1853" spans="3:3">
      <c r="C1853" s="148"/>
    </row>
    <row r="1854" spans="3:3">
      <c r="C1854" s="148"/>
    </row>
    <row r="1855" spans="3:3">
      <c r="C1855" s="148"/>
    </row>
    <row r="1856" spans="3:3">
      <c r="C1856" s="148"/>
    </row>
    <row r="1857" spans="3:3">
      <c r="C1857" s="148"/>
    </row>
    <row r="1858" spans="3:3">
      <c r="C1858" s="148"/>
    </row>
    <row r="1859" spans="3:3">
      <c r="C1859" s="148"/>
    </row>
    <row r="1860" spans="3:3">
      <c r="C1860" s="148"/>
    </row>
    <row r="1861" spans="3:3">
      <c r="C1861" s="148"/>
    </row>
    <row r="1862" spans="3:3">
      <c r="C1862" s="148"/>
    </row>
    <row r="1863" spans="3:3">
      <c r="C1863" s="148"/>
    </row>
    <row r="1864" spans="3:3">
      <c r="C1864" s="148"/>
    </row>
    <row r="1865" spans="3:3">
      <c r="C1865" s="148"/>
    </row>
    <row r="1866" spans="3:3">
      <c r="C1866" s="148"/>
    </row>
    <row r="1867" spans="3:3">
      <c r="C1867" s="148"/>
    </row>
    <row r="1868" spans="3:3">
      <c r="C1868" s="148"/>
    </row>
    <row r="1869" spans="3:3">
      <c r="C1869" s="148"/>
    </row>
    <row r="1870" spans="3:3">
      <c r="C1870" s="148"/>
    </row>
    <row r="1871" spans="3:3">
      <c r="C1871" s="148"/>
    </row>
    <row r="1872" spans="3:3">
      <c r="C1872" s="148"/>
    </row>
    <row r="1873" spans="3:3">
      <c r="C1873" s="148"/>
    </row>
    <row r="1874" spans="3:3">
      <c r="C1874" s="148"/>
    </row>
    <row r="1875" spans="3:3">
      <c r="C1875" s="148"/>
    </row>
    <row r="1876" spans="3:3">
      <c r="C1876" s="148"/>
    </row>
    <row r="1877" spans="3:3">
      <c r="C1877" s="148"/>
    </row>
    <row r="1878" spans="3:3">
      <c r="C1878" s="148"/>
    </row>
    <row r="1879" spans="3:3">
      <c r="C1879" s="148"/>
    </row>
    <row r="1880" spans="3:3">
      <c r="C1880" s="148"/>
    </row>
    <row r="1881" spans="3:3">
      <c r="C1881" s="148"/>
    </row>
    <row r="1882" spans="3:3">
      <c r="C1882" s="148"/>
    </row>
    <row r="1883" spans="3:3">
      <c r="C1883" s="148"/>
    </row>
    <row r="1884" spans="3:3">
      <c r="C1884" s="148"/>
    </row>
    <row r="1885" spans="3:3">
      <c r="C1885" s="148"/>
    </row>
    <row r="1886" spans="3:3">
      <c r="C1886" s="148"/>
    </row>
    <row r="1887" spans="3:3">
      <c r="C1887" s="148"/>
    </row>
    <row r="1888" spans="3:3">
      <c r="C1888" s="148"/>
    </row>
    <row r="1889" spans="3:3">
      <c r="C1889" s="148"/>
    </row>
    <row r="1890" spans="3:3">
      <c r="C1890" s="148"/>
    </row>
    <row r="1891" spans="3:3">
      <c r="C1891" s="148"/>
    </row>
    <row r="1892" spans="3:3">
      <c r="C1892" s="148"/>
    </row>
    <row r="1893" spans="3:3">
      <c r="C1893" s="148"/>
    </row>
    <row r="1894" spans="3:3">
      <c r="C1894" s="148"/>
    </row>
    <row r="1895" spans="3:3">
      <c r="C1895" s="148"/>
    </row>
    <row r="1896" spans="3:3">
      <c r="C1896" s="148"/>
    </row>
    <row r="1897" spans="3:3">
      <c r="C1897" s="148"/>
    </row>
    <row r="1898" spans="3:3">
      <c r="C1898" s="148"/>
    </row>
    <row r="1899" spans="3:3">
      <c r="C1899" s="148"/>
    </row>
    <row r="1900" spans="3:3">
      <c r="C1900" s="148"/>
    </row>
    <row r="1901" spans="3:3">
      <c r="C1901" s="148"/>
    </row>
    <row r="1902" spans="3:3">
      <c r="C1902" s="148"/>
    </row>
    <row r="1903" spans="3:3">
      <c r="C1903" s="148"/>
    </row>
    <row r="1904" spans="3:3">
      <c r="C1904" s="148"/>
    </row>
    <row r="1905" spans="3:3">
      <c r="C1905" s="148"/>
    </row>
    <row r="1906" spans="3:3">
      <c r="C1906" s="148"/>
    </row>
    <row r="1907" spans="3:3">
      <c r="C1907" s="148"/>
    </row>
    <row r="1908" spans="3:3">
      <c r="C1908" s="148"/>
    </row>
    <row r="1909" spans="3:3">
      <c r="C1909" s="148"/>
    </row>
    <row r="1910" spans="3:3">
      <c r="C1910" s="148"/>
    </row>
    <row r="1911" spans="3:3">
      <c r="C1911" s="148"/>
    </row>
    <row r="1912" spans="3:3">
      <c r="C1912" s="148"/>
    </row>
    <row r="1913" spans="3:3">
      <c r="C1913" s="148"/>
    </row>
    <row r="1914" spans="3:3">
      <c r="C1914" s="148"/>
    </row>
    <row r="1915" spans="3:3">
      <c r="C1915" s="148"/>
    </row>
    <row r="1916" spans="3:3">
      <c r="C1916" s="148"/>
    </row>
    <row r="1917" spans="3:3">
      <c r="C1917" s="148"/>
    </row>
    <row r="1918" spans="3:3">
      <c r="C1918" s="148"/>
    </row>
    <row r="1919" spans="3:3">
      <c r="C1919" s="148"/>
    </row>
    <row r="1920" spans="3:3">
      <c r="C1920" s="148"/>
    </row>
    <row r="1921" spans="3:3">
      <c r="C1921" s="148"/>
    </row>
    <row r="1922" spans="3:3">
      <c r="C1922" s="148"/>
    </row>
    <row r="1923" spans="3:3">
      <c r="C1923" s="148"/>
    </row>
    <row r="1924" spans="3:3">
      <c r="C1924" s="148"/>
    </row>
    <row r="1925" spans="3:3">
      <c r="C1925" s="148"/>
    </row>
    <row r="1926" spans="3:3">
      <c r="C1926" s="148"/>
    </row>
    <row r="1927" spans="3:3">
      <c r="C1927" s="148"/>
    </row>
    <row r="1928" spans="3:3">
      <c r="C1928" s="148"/>
    </row>
    <row r="1929" spans="3:3">
      <c r="C1929" s="148"/>
    </row>
    <row r="1930" spans="3:3">
      <c r="C1930" s="148"/>
    </row>
    <row r="1931" spans="3:3">
      <c r="C1931" s="148"/>
    </row>
    <row r="1932" spans="3:3">
      <c r="C1932" s="148"/>
    </row>
    <row r="1933" spans="3:3">
      <c r="C1933" s="148"/>
    </row>
    <row r="1934" spans="3:3">
      <c r="C1934" s="148"/>
    </row>
    <row r="1935" spans="3:3">
      <c r="C1935" s="148"/>
    </row>
    <row r="1936" spans="3:3">
      <c r="C1936" s="148"/>
    </row>
    <row r="1937" spans="3:3">
      <c r="C1937" s="148"/>
    </row>
    <row r="1938" spans="3:3">
      <c r="C1938" s="148"/>
    </row>
    <row r="1939" spans="3:3">
      <c r="C1939" s="148"/>
    </row>
    <row r="1940" spans="3:3">
      <c r="C1940" s="148"/>
    </row>
    <row r="1941" spans="3:3">
      <c r="C1941" s="148"/>
    </row>
    <row r="1942" spans="3:3">
      <c r="C1942" s="148"/>
    </row>
    <row r="1943" spans="3:3">
      <c r="C1943" s="148"/>
    </row>
    <row r="1944" spans="3:3">
      <c r="C1944" s="148"/>
    </row>
    <row r="1945" spans="3:3">
      <c r="C1945" s="148"/>
    </row>
    <row r="1946" spans="3:3">
      <c r="C1946" s="148"/>
    </row>
    <row r="1947" spans="3:3">
      <c r="C1947" s="148"/>
    </row>
    <row r="1948" spans="3:3">
      <c r="C1948" s="148"/>
    </row>
    <row r="1949" spans="3:3">
      <c r="C1949" s="148"/>
    </row>
    <row r="1950" spans="3:3">
      <c r="C1950" s="148"/>
    </row>
    <row r="1951" spans="3:3">
      <c r="C1951" s="148"/>
    </row>
    <row r="1952" spans="3:3">
      <c r="C1952" s="148"/>
    </row>
    <row r="1953" spans="3:3">
      <c r="C1953" s="148"/>
    </row>
    <row r="1954" spans="3:3">
      <c r="C1954" s="148"/>
    </row>
    <row r="1955" spans="3:3">
      <c r="C1955" s="148"/>
    </row>
    <row r="1956" spans="3:3">
      <c r="C1956" s="148"/>
    </row>
    <row r="1957" spans="3:3">
      <c r="C1957" s="148"/>
    </row>
    <row r="1958" spans="3:3">
      <c r="C1958" s="148"/>
    </row>
    <row r="1959" spans="3:3">
      <c r="C1959" s="148"/>
    </row>
    <row r="1960" spans="3:3">
      <c r="C1960" s="148"/>
    </row>
    <row r="1961" spans="3:3">
      <c r="C1961" s="148"/>
    </row>
    <row r="1962" spans="3:3">
      <c r="C1962" s="148"/>
    </row>
    <row r="1963" spans="3:3">
      <c r="C1963" s="148"/>
    </row>
    <row r="1964" spans="3:3">
      <c r="C1964" s="148"/>
    </row>
    <row r="1965" spans="3:3">
      <c r="C1965" s="148"/>
    </row>
    <row r="1966" spans="3:3">
      <c r="C1966" s="148"/>
    </row>
    <row r="1967" spans="3:3">
      <c r="C1967" s="148"/>
    </row>
    <row r="1968" spans="3:3">
      <c r="C1968" s="148"/>
    </row>
    <row r="1969" spans="3:3">
      <c r="C1969" s="148"/>
    </row>
    <row r="1970" spans="3:3">
      <c r="C1970" s="148"/>
    </row>
    <row r="1971" spans="3:3">
      <c r="C1971" s="148"/>
    </row>
    <row r="1972" spans="3:3">
      <c r="C1972" s="148"/>
    </row>
    <row r="1973" spans="3:3">
      <c r="C1973" s="148"/>
    </row>
    <row r="1974" spans="3:3">
      <c r="C1974" s="148"/>
    </row>
    <row r="1975" spans="3:3">
      <c r="C1975" s="148"/>
    </row>
    <row r="1976" spans="3:3">
      <c r="C1976" s="148"/>
    </row>
    <row r="1977" spans="3:3">
      <c r="C1977" s="148"/>
    </row>
    <row r="1978" spans="3:3">
      <c r="C1978" s="148"/>
    </row>
    <row r="1979" spans="3:3">
      <c r="C1979" s="148"/>
    </row>
    <row r="1980" spans="3:3">
      <c r="C1980" s="148"/>
    </row>
    <row r="1981" spans="3:3">
      <c r="C1981" s="148"/>
    </row>
    <row r="1982" spans="3:3">
      <c r="C1982" s="148"/>
    </row>
    <row r="1983" spans="3:3">
      <c r="C1983" s="148"/>
    </row>
    <row r="1984" spans="3:3">
      <c r="C1984" s="148"/>
    </row>
    <row r="1985" spans="3:3">
      <c r="C1985" s="148"/>
    </row>
    <row r="1986" spans="3:3">
      <c r="C1986" s="148"/>
    </row>
    <row r="1987" spans="3:3">
      <c r="C1987" s="148"/>
    </row>
    <row r="1988" spans="3:3">
      <c r="C1988" s="148"/>
    </row>
    <row r="1989" spans="3:3">
      <c r="C1989" s="148"/>
    </row>
    <row r="1990" spans="3:3">
      <c r="C1990" s="148"/>
    </row>
    <row r="1991" spans="3:3">
      <c r="C1991" s="148"/>
    </row>
    <row r="1992" spans="3:3">
      <c r="C1992" s="148"/>
    </row>
    <row r="1993" spans="3:3">
      <c r="C1993" s="148"/>
    </row>
    <row r="1994" spans="3:3">
      <c r="C1994" s="148"/>
    </row>
    <row r="1995" spans="3:3">
      <c r="C1995" s="148"/>
    </row>
    <row r="1996" spans="3:3">
      <c r="C1996" s="148"/>
    </row>
    <row r="1997" spans="3:3">
      <c r="C1997" s="148"/>
    </row>
    <row r="1998" spans="3:3">
      <c r="C1998" s="148"/>
    </row>
    <row r="1999" spans="3:3">
      <c r="C1999" s="148"/>
    </row>
    <row r="2000" spans="3:3">
      <c r="C2000" s="148"/>
    </row>
    <row r="2001" spans="3:3">
      <c r="C2001" s="148"/>
    </row>
    <row r="2002" spans="3:3">
      <c r="C2002" s="148"/>
    </row>
    <row r="2003" spans="3:3">
      <c r="C2003" s="148"/>
    </row>
    <row r="2004" spans="3:3">
      <c r="C2004" s="148"/>
    </row>
    <row r="2005" spans="3:3">
      <c r="C2005" s="148"/>
    </row>
    <row r="2006" spans="3:3">
      <c r="C2006" s="148"/>
    </row>
    <row r="2007" spans="3:3">
      <c r="C2007" s="148"/>
    </row>
    <row r="2008" spans="3:3">
      <c r="C2008" s="148"/>
    </row>
    <row r="2009" spans="3:3">
      <c r="C2009" s="148"/>
    </row>
    <row r="2010" spans="3:3">
      <c r="C2010" s="148"/>
    </row>
    <row r="2011" spans="3:3">
      <c r="C2011" s="148"/>
    </row>
    <row r="2012" spans="3:3">
      <c r="C2012" s="148"/>
    </row>
    <row r="2013" spans="3:3">
      <c r="C2013" s="148"/>
    </row>
    <row r="2014" spans="3:3">
      <c r="C2014" s="148"/>
    </row>
    <row r="2015" spans="3:3">
      <c r="C2015" s="148"/>
    </row>
    <row r="2016" spans="3:3">
      <c r="C2016" s="148"/>
    </row>
    <row r="2017" spans="3:3">
      <c r="C2017" s="148"/>
    </row>
    <row r="2018" spans="3:3">
      <c r="C2018" s="148"/>
    </row>
    <row r="2019" spans="3:3">
      <c r="C2019" s="148"/>
    </row>
    <row r="2020" spans="3:3">
      <c r="C2020" s="148"/>
    </row>
    <row r="2021" spans="3:3">
      <c r="C2021" s="148"/>
    </row>
    <row r="2022" spans="3:3">
      <c r="C2022" s="148"/>
    </row>
    <row r="2023" spans="3:3">
      <c r="C2023" s="148"/>
    </row>
    <row r="2024" spans="3:3">
      <c r="C2024" s="148"/>
    </row>
    <row r="2025" spans="3:3">
      <c r="C2025" s="148"/>
    </row>
    <row r="2026" spans="3:3">
      <c r="C2026" s="148"/>
    </row>
    <row r="2027" spans="3:3">
      <c r="C2027" s="148"/>
    </row>
    <row r="2028" spans="3:3">
      <c r="C2028" s="148"/>
    </row>
    <row r="2029" spans="3:3">
      <c r="C2029" s="148"/>
    </row>
    <row r="2030" spans="3:3">
      <c r="C2030" s="148"/>
    </row>
    <row r="2031" spans="3:3">
      <c r="C2031" s="148"/>
    </row>
    <row r="2032" spans="3:3">
      <c r="C2032" s="148"/>
    </row>
    <row r="2033" spans="3:3">
      <c r="C2033" s="148"/>
    </row>
    <row r="2034" spans="3:3">
      <c r="C2034" s="148"/>
    </row>
    <row r="2035" spans="3:3">
      <c r="C2035" s="148"/>
    </row>
    <row r="2036" spans="3:3">
      <c r="C2036" s="148"/>
    </row>
    <row r="2037" spans="3:3">
      <c r="C2037" s="148"/>
    </row>
    <row r="2038" spans="3:3">
      <c r="C2038" s="148"/>
    </row>
    <row r="2039" spans="3:3">
      <c r="C2039" s="148"/>
    </row>
    <row r="2040" spans="3:3">
      <c r="C2040" s="148"/>
    </row>
    <row r="2041" spans="3:3">
      <c r="C2041" s="148"/>
    </row>
    <row r="2042" spans="3:3">
      <c r="C2042" s="148"/>
    </row>
    <row r="2043" spans="3:3">
      <c r="C2043" s="148"/>
    </row>
    <row r="2044" spans="3:3">
      <c r="C2044" s="148"/>
    </row>
    <row r="2045" spans="3:3">
      <c r="C2045" s="148"/>
    </row>
    <row r="2046" spans="3:3">
      <c r="C2046" s="148"/>
    </row>
    <row r="2047" spans="3:3">
      <c r="C2047" s="148"/>
    </row>
    <row r="2048" spans="3:3">
      <c r="C2048" s="148"/>
    </row>
    <row r="2049" spans="3:3">
      <c r="C2049" s="148"/>
    </row>
    <row r="2050" spans="3:3">
      <c r="C2050" s="148"/>
    </row>
    <row r="2051" spans="3:3">
      <c r="C2051" s="148"/>
    </row>
    <row r="2052" spans="3:3">
      <c r="C2052" s="148"/>
    </row>
    <row r="2053" spans="3:3">
      <c r="C2053" s="148"/>
    </row>
    <row r="2054" spans="3:3">
      <c r="C2054" s="148"/>
    </row>
    <row r="2055" spans="3:3">
      <c r="C2055" s="148"/>
    </row>
    <row r="2056" spans="3:3">
      <c r="C2056" s="148"/>
    </row>
    <row r="2057" spans="3:3">
      <c r="C2057" s="148"/>
    </row>
    <row r="2058" spans="3:3">
      <c r="C2058" s="148"/>
    </row>
    <row r="2059" spans="3:3">
      <c r="C2059" s="148"/>
    </row>
    <row r="2060" spans="3:3">
      <c r="C2060" s="148"/>
    </row>
    <row r="2061" spans="3:3">
      <c r="C2061" s="148"/>
    </row>
    <row r="2062" spans="3:3">
      <c r="C2062" s="148"/>
    </row>
    <row r="2063" spans="3:3">
      <c r="C2063" s="148"/>
    </row>
    <row r="2064" spans="3:3">
      <c r="C2064" s="148"/>
    </row>
    <row r="2065" spans="3:3">
      <c r="C2065" s="148"/>
    </row>
    <row r="2066" spans="3:3">
      <c r="C2066" s="148"/>
    </row>
    <row r="2067" spans="3:3">
      <c r="C2067" s="148"/>
    </row>
    <row r="2068" spans="3:3">
      <c r="C2068" s="148"/>
    </row>
    <row r="2069" spans="3:3">
      <c r="C2069" s="148"/>
    </row>
    <row r="2070" spans="3:3">
      <c r="C2070" s="148"/>
    </row>
    <row r="2071" spans="3:3">
      <c r="C2071" s="148"/>
    </row>
    <row r="2072" spans="3:3">
      <c r="C2072" s="148"/>
    </row>
    <row r="2073" spans="3:3">
      <c r="C2073" s="148"/>
    </row>
    <row r="2074" spans="3:3">
      <c r="C2074" s="148"/>
    </row>
    <row r="2075" spans="3:3">
      <c r="C2075" s="148"/>
    </row>
    <row r="2076" spans="3:3">
      <c r="C2076" s="148"/>
    </row>
    <row r="2077" spans="3:3">
      <c r="C2077" s="148"/>
    </row>
    <row r="2078" spans="3:3">
      <c r="C2078" s="148"/>
    </row>
    <row r="2079" spans="3:3">
      <c r="C2079" s="148"/>
    </row>
    <row r="2080" spans="3:3">
      <c r="C2080" s="148"/>
    </row>
    <row r="2081" spans="3:3">
      <c r="C2081" s="148"/>
    </row>
    <row r="2082" spans="3:3">
      <c r="C2082" s="148"/>
    </row>
    <row r="2083" spans="3:3">
      <c r="C2083" s="148"/>
    </row>
    <row r="2084" spans="3:3">
      <c r="C2084" s="148"/>
    </row>
    <row r="2085" spans="3:3">
      <c r="C2085" s="148"/>
    </row>
    <row r="2086" spans="3:3">
      <c r="C2086" s="148"/>
    </row>
    <row r="2087" spans="3:3">
      <c r="C2087" s="148"/>
    </row>
    <row r="2088" spans="3:3">
      <c r="C2088" s="148"/>
    </row>
    <row r="2089" spans="3:3">
      <c r="C2089" s="148"/>
    </row>
    <row r="2090" spans="3:3">
      <c r="C2090" s="148"/>
    </row>
    <row r="2091" spans="3:3">
      <c r="C2091" s="148"/>
    </row>
    <row r="2092" spans="3:3">
      <c r="C2092" s="148"/>
    </row>
    <row r="2093" spans="3:3">
      <c r="C2093" s="148"/>
    </row>
    <row r="2094" spans="3:3">
      <c r="C2094" s="148"/>
    </row>
    <row r="2095" spans="3:3">
      <c r="C2095" s="148"/>
    </row>
    <row r="2096" spans="3:3">
      <c r="C2096" s="148"/>
    </row>
    <row r="2097" spans="3:3">
      <c r="C2097" s="148"/>
    </row>
    <row r="2098" spans="3:3">
      <c r="C2098" s="148"/>
    </row>
    <row r="2099" spans="3:3">
      <c r="C2099" s="148"/>
    </row>
    <row r="2100" spans="3:3">
      <c r="C2100" s="148"/>
    </row>
    <row r="2101" spans="3:3">
      <c r="C2101" s="148"/>
    </row>
    <row r="2102" spans="3:3">
      <c r="C2102" s="148"/>
    </row>
    <row r="2103" spans="3:3">
      <c r="C2103" s="148"/>
    </row>
    <row r="2104" spans="3:3">
      <c r="C2104" s="148"/>
    </row>
    <row r="2105" spans="3:3">
      <c r="C2105" s="148"/>
    </row>
    <row r="2106" spans="3:3">
      <c r="C2106" s="148"/>
    </row>
    <row r="2107" spans="3:3">
      <c r="C2107" s="148"/>
    </row>
    <row r="2108" spans="3:3">
      <c r="C2108" s="148"/>
    </row>
    <row r="2109" spans="3:3">
      <c r="C2109" s="148"/>
    </row>
    <row r="2110" spans="3:3">
      <c r="C2110" s="148"/>
    </row>
    <row r="2111" spans="3:3">
      <c r="C2111" s="148"/>
    </row>
    <row r="2112" spans="3:3">
      <c r="C2112" s="148"/>
    </row>
    <row r="2113" spans="3:3">
      <c r="C2113" s="148"/>
    </row>
    <row r="2114" spans="3:3">
      <c r="C2114" s="148"/>
    </row>
    <row r="2115" spans="3:3">
      <c r="C2115" s="148"/>
    </row>
    <row r="2116" spans="3:3">
      <c r="C2116" s="148"/>
    </row>
    <row r="2117" spans="3:3">
      <c r="C2117" s="148"/>
    </row>
    <row r="2118" spans="3:3">
      <c r="C2118" s="148"/>
    </row>
    <row r="2119" spans="3:3">
      <c r="C2119" s="148"/>
    </row>
    <row r="2120" spans="3:3">
      <c r="C2120" s="148"/>
    </row>
    <row r="2121" spans="3:3">
      <c r="C2121" s="148"/>
    </row>
    <row r="2122" spans="3:3">
      <c r="C2122" s="148"/>
    </row>
    <row r="2123" spans="3:3">
      <c r="C2123" s="148"/>
    </row>
    <row r="2124" spans="3:3">
      <c r="C2124" s="148"/>
    </row>
    <row r="2125" spans="3:3">
      <c r="C2125" s="148"/>
    </row>
    <row r="2126" spans="3:3">
      <c r="C2126" s="148"/>
    </row>
    <row r="2127" spans="3:3">
      <c r="C2127" s="148"/>
    </row>
    <row r="2128" spans="3:3">
      <c r="C2128" s="148"/>
    </row>
    <row r="2129" spans="3:3">
      <c r="C2129" s="148"/>
    </row>
    <row r="2130" spans="3:3">
      <c r="C2130" s="148"/>
    </row>
    <row r="2131" spans="3:3">
      <c r="C2131" s="148"/>
    </row>
    <row r="2132" spans="3:3">
      <c r="C2132" s="148"/>
    </row>
    <row r="2133" spans="3:3">
      <c r="C2133" s="148"/>
    </row>
    <row r="2134" spans="3:3">
      <c r="C2134" s="148"/>
    </row>
    <row r="2135" spans="3:3">
      <c r="C2135" s="148"/>
    </row>
    <row r="2136" spans="3:3">
      <c r="C2136" s="148"/>
    </row>
    <row r="2137" spans="3:3">
      <c r="C2137" s="148"/>
    </row>
    <row r="2138" spans="3:3">
      <c r="C2138" s="148"/>
    </row>
    <row r="2139" spans="3:3">
      <c r="C2139" s="148"/>
    </row>
    <row r="2140" spans="3:3">
      <c r="C2140" s="148"/>
    </row>
    <row r="2141" spans="3:3">
      <c r="C2141" s="148"/>
    </row>
    <row r="2142" spans="3:3">
      <c r="C2142" s="148"/>
    </row>
    <row r="2143" spans="3:3">
      <c r="C2143" s="148"/>
    </row>
    <row r="2144" spans="3:3">
      <c r="C2144" s="148"/>
    </row>
    <row r="2145" spans="3:3">
      <c r="C2145" s="148"/>
    </row>
    <row r="2146" spans="3:3">
      <c r="C2146" s="148"/>
    </row>
    <row r="2147" spans="3:3">
      <c r="C2147" s="148"/>
    </row>
    <row r="2148" spans="3:3">
      <c r="C2148" s="148"/>
    </row>
    <row r="2149" spans="3:3">
      <c r="C2149" s="148"/>
    </row>
    <row r="2150" spans="3:3">
      <c r="C2150" s="148"/>
    </row>
    <row r="2151" spans="3:3">
      <c r="C2151" s="148"/>
    </row>
    <row r="2152" spans="3:3">
      <c r="C2152" s="148"/>
    </row>
    <row r="2153" spans="3:3">
      <c r="C2153" s="148"/>
    </row>
    <row r="2154" spans="3:3">
      <c r="C2154" s="148"/>
    </row>
    <row r="2155" spans="3:3">
      <c r="C2155" s="148"/>
    </row>
    <row r="2156" spans="3:3">
      <c r="C2156" s="148"/>
    </row>
    <row r="2157" spans="3:3">
      <c r="C2157" s="148"/>
    </row>
    <row r="2158" spans="3:3">
      <c r="C2158" s="148"/>
    </row>
    <row r="2159" spans="3:3">
      <c r="C2159" s="148"/>
    </row>
    <row r="2160" spans="3:3">
      <c r="C2160" s="148"/>
    </row>
    <row r="2161" spans="3:3">
      <c r="C2161" s="148"/>
    </row>
    <row r="2162" spans="3:3">
      <c r="C2162" s="148"/>
    </row>
    <row r="2163" spans="3:3">
      <c r="C2163" s="148"/>
    </row>
    <row r="2164" spans="3:3">
      <c r="C2164" s="148"/>
    </row>
    <row r="2165" spans="3:3">
      <c r="C2165" s="148"/>
    </row>
    <row r="2166" spans="3:3">
      <c r="C2166" s="148"/>
    </row>
    <row r="2167" spans="3:3">
      <c r="C2167" s="148"/>
    </row>
    <row r="2168" spans="3:3">
      <c r="C2168" s="148"/>
    </row>
    <row r="2169" spans="3:3">
      <c r="C2169" s="148"/>
    </row>
    <row r="2170" spans="3:3">
      <c r="C2170" s="148"/>
    </row>
    <row r="2171" spans="3:3">
      <c r="C2171" s="148"/>
    </row>
    <row r="2172" spans="3:3">
      <c r="C2172" s="148"/>
    </row>
    <row r="2173" spans="3:3">
      <c r="C2173" s="148"/>
    </row>
    <row r="2174" spans="3:3">
      <c r="C2174" s="148"/>
    </row>
    <row r="2175" spans="3:3">
      <c r="C2175" s="148"/>
    </row>
    <row r="2176" spans="3:3">
      <c r="C2176" s="148"/>
    </row>
    <row r="2177" spans="3:3">
      <c r="C2177" s="148"/>
    </row>
    <row r="2178" spans="3:3">
      <c r="C2178" s="148"/>
    </row>
    <row r="2179" spans="3:3">
      <c r="C2179" s="148"/>
    </row>
    <row r="2180" spans="3:3">
      <c r="C2180" s="148"/>
    </row>
    <row r="2181" spans="3:3">
      <c r="C2181" s="148"/>
    </row>
    <row r="2182" spans="3:3">
      <c r="C2182" s="148"/>
    </row>
    <row r="2183" spans="3:3">
      <c r="C2183" s="148"/>
    </row>
    <row r="2184" spans="3:3">
      <c r="C2184" s="148"/>
    </row>
    <row r="2185" spans="3:3">
      <c r="C2185" s="148"/>
    </row>
    <row r="2186" spans="3:3">
      <c r="C2186" s="148"/>
    </row>
    <row r="2187" spans="3:3">
      <c r="C2187" s="148"/>
    </row>
    <row r="2188" spans="3:3">
      <c r="C2188" s="148"/>
    </row>
    <row r="2189" spans="3:3">
      <c r="C2189" s="148"/>
    </row>
    <row r="2190" spans="3:3">
      <c r="C2190" s="148"/>
    </row>
    <row r="2191" spans="3:3">
      <c r="C2191" s="148"/>
    </row>
    <row r="2192" spans="3:3">
      <c r="C2192" s="148"/>
    </row>
    <row r="2193" spans="3:3">
      <c r="C2193" s="148"/>
    </row>
    <row r="2194" spans="3:3">
      <c r="C2194" s="148"/>
    </row>
    <row r="2195" spans="3:3">
      <c r="C2195" s="148"/>
    </row>
    <row r="2196" spans="3:3">
      <c r="C2196" s="148"/>
    </row>
    <row r="2197" spans="3:3">
      <c r="C2197" s="148"/>
    </row>
    <row r="2198" spans="3:3">
      <c r="C2198" s="148"/>
    </row>
    <row r="2199" spans="3:3">
      <c r="C2199" s="148"/>
    </row>
    <row r="2200" spans="3:3">
      <c r="C2200" s="148"/>
    </row>
    <row r="2201" spans="3:3">
      <c r="C2201" s="148"/>
    </row>
    <row r="2202" spans="3:3">
      <c r="C2202" s="148"/>
    </row>
    <row r="2203" spans="3:3">
      <c r="C2203" s="148"/>
    </row>
    <row r="2204" spans="3:3">
      <c r="C2204" s="148"/>
    </row>
    <row r="2205" spans="3:3">
      <c r="C2205" s="148"/>
    </row>
    <row r="2206" spans="3:3">
      <c r="C2206" s="148"/>
    </row>
    <row r="2207" spans="3:3">
      <c r="C2207" s="148"/>
    </row>
    <row r="2208" spans="3:3">
      <c r="C2208" s="148"/>
    </row>
    <row r="2209" spans="3:3">
      <c r="C2209" s="148"/>
    </row>
    <row r="2210" spans="3:3">
      <c r="C2210" s="148"/>
    </row>
    <row r="2211" spans="3:3">
      <c r="C2211" s="148"/>
    </row>
    <row r="2212" spans="3:3">
      <c r="C2212" s="148"/>
    </row>
    <row r="2213" spans="3:3">
      <c r="C2213" s="148"/>
    </row>
    <row r="2214" spans="3:3">
      <c r="C2214" s="148"/>
    </row>
    <row r="2215" spans="3:3">
      <c r="C2215" s="148"/>
    </row>
    <row r="2216" spans="3:3">
      <c r="C2216" s="148"/>
    </row>
    <row r="2217" spans="3:3">
      <c r="C2217" s="148"/>
    </row>
    <row r="2218" spans="3:3">
      <c r="C2218" s="148"/>
    </row>
    <row r="2219" spans="3:3">
      <c r="C2219" s="148"/>
    </row>
    <row r="2220" spans="3:3">
      <c r="C2220" s="148"/>
    </row>
    <row r="2221" spans="3:3">
      <c r="C2221" s="148"/>
    </row>
    <row r="2222" spans="3:3">
      <c r="C2222" s="148"/>
    </row>
    <row r="2223" spans="3:3">
      <c r="C2223" s="148"/>
    </row>
    <row r="2224" spans="3:3">
      <c r="C2224" s="148"/>
    </row>
    <row r="2225" spans="3:3">
      <c r="C2225" s="148"/>
    </row>
    <row r="2226" spans="3:3">
      <c r="C2226" s="148"/>
    </row>
    <row r="2227" spans="3:3">
      <c r="C2227" s="148"/>
    </row>
    <row r="2228" spans="3:3">
      <c r="C2228" s="148"/>
    </row>
    <row r="2229" spans="3:3">
      <c r="C2229" s="148"/>
    </row>
    <row r="2230" spans="3:3">
      <c r="C2230" s="148"/>
    </row>
    <row r="2231" spans="3:3">
      <c r="C2231" s="148"/>
    </row>
    <row r="2232" spans="3:3">
      <c r="C2232" s="148"/>
    </row>
    <row r="2233" spans="3:3">
      <c r="C2233" s="148"/>
    </row>
    <row r="2234" spans="3:3">
      <c r="C2234" s="148"/>
    </row>
    <row r="2235" spans="3:3">
      <c r="C2235" s="148"/>
    </row>
    <row r="2236" spans="3:3">
      <c r="C2236" s="148"/>
    </row>
    <row r="2237" spans="3:3">
      <c r="C2237" s="148"/>
    </row>
    <row r="2238" spans="3:3">
      <c r="C2238" s="148"/>
    </row>
    <row r="2239" spans="3:3">
      <c r="C2239" s="148"/>
    </row>
    <row r="2240" spans="3:3">
      <c r="C2240" s="148"/>
    </row>
    <row r="2241" spans="3:3">
      <c r="C2241" s="148"/>
    </row>
    <row r="2242" spans="3:3">
      <c r="C2242" s="148"/>
    </row>
    <row r="2243" spans="3:3">
      <c r="C2243" s="148"/>
    </row>
    <row r="2244" spans="3:3">
      <c r="C2244" s="148"/>
    </row>
    <row r="2245" spans="3:3">
      <c r="C2245" s="148"/>
    </row>
    <row r="2246" spans="3:3">
      <c r="C2246" s="148"/>
    </row>
    <row r="2247" spans="3:3">
      <c r="C2247" s="148"/>
    </row>
    <row r="2248" spans="3:3">
      <c r="C2248" s="148"/>
    </row>
    <row r="2249" spans="3:3">
      <c r="C2249" s="148"/>
    </row>
    <row r="2250" spans="3:3">
      <c r="C2250" s="148"/>
    </row>
    <row r="2251" spans="3:3">
      <c r="C2251" s="148"/>
    </row>
    <row r="2252" spans="3:3">
      <c r="C2252" s="148"/>
    </row>
    <row r="2253" spans="3:3">
      <c r="C2253" s="148"/>
    </row>
    <row r="2254" spans="3:3">
      <c r="C2254" s="148"/>
    </row>
    <row r="2255" spans="3:3">
      <c r="C2255" s="148"/>
    </row>
    <row r="2256" spans="3:3">
      <c r="C2256" s="148"/>
    </row>
    <row r="2257" spans="3:3">
      <c r="C2257" s="148"/>
    </row>
    <row r="2258" spans="3:3">
      <c r="C2258" s="148"/>
    </row>
    <row r="2259" spans="3:3">
      <c r="C2259" s="148"/>
    </row>
    <row r="2260" spans="3:3">
      <c r="C2260" s="148"/>
    </row>
    <row r="2261" spans="3:3">
      <c r="C2261" s="148"/>
    </row>
    <row r="2262" spans="3:3">
      <c r="C2262" s="148"/>
    </row>
    <row r="2263" spans="3:3">
      <c r="C2263" s="148"/>
    </row>
    <row r="2264" spans="3:3">
      <c r="C2264" s="148"/>
    </row>
    <row r="2265" spans="3:3">
      <c r="C2265" s="148"/>
    </row>
    <row r="2266" spans="3:3">
      <c r="C2266" s="148"/>
    </row>
    <row r="2267" spans="3:3">
      <c r="C2267" s="148"/>
    </row>
    <row r="2268" spans="3:3">
      <c r="C2268" s="148"/>
    </row>
    <row r="2269" spans="3:3">
      <c r="C2269" s="148"/>
    </row>
    <row r="2270" spans="3:3">
      <c r="C2270" s="148"/>
    </row>
    <row r="2271" spans="3:3">
      <c r="C2271" s="148"/>
    </row>
    <row r="2272" spans="3:3">
      <c r="C2272" s="148"/>
    </row>
    <row r="2273" spans="3:3">
      <c r="C2273" s="148"/>
    </row>
    <row r="2274" spans="3:3">
      <c r="C2274" s="148"/>
    </row>
    <row r="2275" spans="3:3">
      <c r="C2275" s="148"/>
    </row>
    <row r="2276" spans="3:3">
      <c r="C2276" s="148"/>
    </row>
    <row r="2277" spans="3:3">
      <c r="C2277" s="148"/>
    </row>
    <row r="2278" spans="3:3">
      <c r="C2278" s="148"/>
    </row>
    <row r="2279" spans="3:3">
      <c r="C2279" s="148"/>
    </row>
    <row r="2280" spans="3:3">
      <c r="C2280" s="148"/>
    </row>
    <row r="2281" spans="3:3">
      <c r="C2281" s="148"/>
    </row>
    <row r="2282" spans="3:3">
      <c r="C2282" s="148"/>
    </row>
    <row r="2283" spans="3:3">
      <c r="C2283" s="148"/>
    </row>
    <row r="2284" spans="3:3">
      <c r="C2284" s="148"/>
    </row>
    <row r="2285" spans="3:3">
      <c r="C2285" s="148"/>
    </row>
    <row r="2286" spans="3:3">
      <c r="C2286" s="148"/>
    </row>
    <row r="2287" spans="3:3">
      <c r="C2287" s="148"/>
    </row>
    <row r="2288" spans="3:3">
      <c r="C2288" s="148"/>
    </row>
    <row r="2289" spans="3:3">
      <c r="C2289" s="148"/>
    </row>
    <row r="2290" spans="3:3">
      <c r="C2290" s="148"/>
    </row>
    <row r="2291" spans="3:3">
      <c r="C2291" s="148"/>
    </row>
    <row r="2292" spans="3:3">
      <c r="C2292" s="148"/>
    </row>
    <row r="2293" spans="3:3">
      <c r="C2293" s="148"/>
    </row>
    <row r="2294" spans="3:3">
      <c r="C2294" s="148"/>
    </row>
    <row r="2295" spans="3:3">
      <c r="C2295" s="148"/>
    </row>
    <row r="2296" spans="3:3">
      <c r="C2296" s="148"/>
    </row>
    <row r="2297" spans="3:3">
      <c r="C2297" s="148"/>
    </row>
    <row r="2298" spans="3:3">
      <c r="C2298" s="148"/>
    </row>
    <row r="2299" spans="3:3">
      <c r="C2299" s="148"/>
    </row>
    <row r="2300" spans="3:3">
      <c r="C2300" s="148"/>
    </row>
    <row r="2301" spans="3:3">
      <c r="C2301" s="148"/>
    </row>
    <row r="2302" spans="3:3">
      <c r="C2302" s="148"/>
    </row>
    <row r="2303" spans="3:3">
      <c r="C2303" s="148"/>
    </row>
    <row r="2304" spans="3:3">
      <c r="C2304" s="148"/>
    </row>
    <row r="2305" spans="3:3">
      <c r="C2305" s="148"/>
    </row>
    <row r="2306" spans="3:3">
      <c r="C2306" s="148"/>
    </row>
    <row r="2307" spans="3:3">
      <c r="C2307" s="148"/>
    </row>
    <row r="2308" spans="3:3">
      <c r="C2308" s="148"/>
    </row>
    <row r="2309" spans="3:3">
      <c r="C2309" s="148"/>
    </row>
    <row r="2310" spans="3:3">
      <c r="C2310" s="148"/>
    </row>
    <row r="2311" spans="3:3">
      <c r="C2311" s="148"/>
    </row>
    <row r="2312" spans="3:3">
      <c r="C2312" s="148"/>
    </row>
    <row r="2313" spans="3:3">
      <c r="C2313" s="148"/>
    </row>
    <row r="2314" spans="3:3">
      <c r="C2314" s="148"/>
    </row>
    <row r="2315" spans="3:3">
      <c r="C2315" s="148"/>
    </row>
    <row r="2316" spans="3:3">
      <c r="C2316" s="148"/>
    </row>
    <row r="2317" spans="3:3">
      <c r="C2317" s="148"/>
    </row>
    <row r="2318" spans="3:3">
      <c r="C2318" s="148"/>
    </row>
    <row r="2319" spans="3:3">
      <c r="C2319" s="148"/>
    </row>
    <row r="2320" spans="3:3">
      <c r="C2320" s="148"/>
    </row>
    <row r="2321" spans="3:3">
      <c r="C2321" s="148"/>
    </row>
    <row r="2322" spans="3:3">
      <c r="C2322" s="148"/>
    </row>
    <row r="2323" spans="3:3">
      <c r="C2323" s="148"/>
    </row>
    <row r="2324" spans="3:3">
      <c r="C2324" s="148"/>
    </row>
    <row r="2325" spans="3:3">
      <c r="C2325" s="148"/>
    </row>
    <row r="2326" spans="3:3">
      <c r="C2326" s="148"/>
    </row>
    <row r="2327" spans="3:3">
      <c r="C2327" s="148"/>
    </row>
    <row r="2328" spans="3:3">
      <c r="C2328" s="148"/>
    </row>
    <row r="2329" spans="3:3">
      <c r="C2329" s="148"/>
    </row>
    <row r="2330" spans="3:3">
      <c r="C2330" s="148"/>
    </row>
    <row r="2331" spans="3:3">
      <c r="C2331" s="148"/>
    </row>
    <row r="2332" spans="3:3">
      <c r="C2332" s="148"/>
    </row>
    <row r="2333" spans="3:3">
      <c r="C2333" s="148"/>
    </row>
    <row r="2334" spans="3:3">
      <c r="C2334" s="148"/>
    </row>
    <row r="2335" spans="3:3">
      <c r="C2335" s="148"/>
    </row>
    <row r="2336" spans="3:3">
      <c r="C2336" s="148"/>
    </row>
    <row r="2337" spans="3:3">
      <c r="C2337" s="148"/>
    </row>
    <row r="2338" spans="3:3">
      <c r="C2338" s="148"/>
    </row>
    <row r="2339" spans="3:3">
      <c r="C2339" s="148"/>
    </row>
    <row r="2340" spans="3:3">
      <c r="C2340" s="148"/>
    </row>
    <row r="2341" spans="3:3">
      <c r="C2341" s="148"/>
    </row>
    <row r="2342" spans="3:3">
      <c r="C2342" s="148"/>
    </row>
    <row r="2343" spans="3:3">
      <c r="C2343" s="148"/>
    </row>
    <row r="2344" spans="3:3">
      <c r="C2344" s="148"/>
    </row>
    <row r="2345" spans="3:3">
      <c r="C2345" s="148"/>
    </row>
    <row r="2346" spans="3:3">
      <c r="C2346" s="148"/>
    </row>
    <row r="2347" spans="3:3">
      <c r="C2347" s="148"/>
    </row>
    <row r="2348" spans="3:3">
      <c r="C2348" s="148"/>
    </row>
    <row r="2349" spans="3:3">
      <c r="C2349" s="148"/>
    </row>
    <row r="2350" spans="3:3">
      <c r="C2350" s="148"/>
    </row>
    <row r="2351" spans="3:3">
      <c r="C2351" s="148"/>
    </row>
    <row r="2352" spans="3:3">
      <c r="C2352" s="148"/>
    </row>
    <row r="2353" spans="3:3">
      <c r="C2353" s="148"/>
    </row>
    <row r="2354" spans="3:3">
      <c r="C2354" s="148"/>
    </row>
    <row r="2355" spans="3:3">
      <c r="C2355" s="148"/>
    </row>
    <row r="2356" spans="3:3">
      <c r="C2356" s="148"/>
    </row>
    <row r="2357" spans="3:3">
      <c r="C2357" s="148"/>
    </row>
    <row r="2358" spans="3:3">
      <c r="C2358" s="148"/>
    </row>
    <row r="2359" spans="3:3">
      <c r="C2359" s="148"/>
    </row>
    <row r="2360" spans="3:3">
      <c r="C2360" s="148"/>
    </row>
    <row r="2361" spans="3:3">
      <c r="C2361" s="148"/>
    </row>
    <row r="2362" spans="3:3">
      <c r="C2362" s="148"/>
    </row>
    <row r="2363" spans="3:3">
      <c r="C2363" s="148"/>
    </row>
    <row r="2364" spans="3:3">
      <c r="C2364" s="148"/>
    </row>
    <row r="2365" spans="3:3">
      <c r="C2365" s="148"/>
    </row>
    <row r="2366" spans="3:3">
      <c r="C2366" s="148"/>
    </row>
    <row r="2367" spans="3:3">
      <c r="C2367" s="148"/>
    </row>
    <row r="2368" spans="3:3">
      <c r="C2368" s="148"/>
    </row>
    <row r="2369" spans="3:3">
      <c r="C2369" s="148"/>
    </row>
    <row r="2370" spans="3:3">
      <c r="C2370" s="148"/>
    </row>
    <row r="2371" spans="3:3">
      <c r="C2371" s="148"/>
    </row>
    <row r="2372" spans="3:3">
      <c r="C2372" s="148"/>
    </row>
    <row r="2373" spans="3:3">
      <c r="C2373" s="148"/>
    </row>
    <row r="2374" spans="3:3">
      <c r="C2374" s="148"/>
    </row>
    <row r="2375" spans="3:3">
      <c r="C2375" s="148"/>
    </row>
    <row r="2376" spans="3:3">
      <c r="C2376" s="148"/>
    </row>
    <row r="2377" spans="3:3">
      <c r="C2377" s="148"/>
    </row>
    <row r="2378" spans="3:3">
      <c r="C2378" s="148"/>
    </row>
    <row r="2379" spans="3:3">
      <c r="C2379" s="148"/>
    </row>
    <row r="2380" spans="3:3">
      <c r="C2380" s="148"/>
    </row>
    <row r="2381" spans="3:3">
      <c r="C2381" s="148"/>
    </row>
    <row r="2382" spans="3:3">
      <c r="C2382" s="148"/>
    </row>
    <row r="2383" spans="3:3">
      <c r="C2383" s="148"/>
    </row>
    <row r="2384" spans="3:3">
      <c r="C2384" s="148"/>
    </row>
    <row r="2385" spans="3:3">
      <c r="C2385" s="148"/>
    </row>
    <row r="2386" spans="3:3">
      <c r="C2386" s="148"/>
    </row>
    <row r="2387" spans="3:3">
      <c r="C2387" s="148"/>
    </row>
    <row r="2388" spans="3:3">
      <c r="C2388" s="148"/>
    </row>
    <row r="2389" spans="3:3">
      <c r="C2389" s="148"/>
    </row>
    <row r="2390" spans="3:3">
      <c r="C2390" s="148"/>
    </row>
    <row r="2391" spans="3:3">
      <c r="C2391" s="148"/>
    </row>
    <row r="2392" spans="3:3">
      <c r="C2392" s="148"/>
    </row>
    <row r="2393" spans="3:3">
      <c r="C2393" s="148"/>
    </row>
    <row r="2394" spans="3:3">
      <c r="C2394" s="148"/>
    </row>
    <row r="2395" spans="3:3">
      <c r="C2395" s="148"/>
    </row>
    <row r="2396" spans="3:3">
      <c r="C2396" s="148"/>
    </row>
    <row r="2397" spans="3:3">
      <c r="C2397" s="148"/>
    </row>
    <row r="2398" spans="3:3">
      <c r="C2398" s="148"/>
    </row>
    <row r="2399" spans="3:3">
      <c r="C2399" s="148"/>
    </row>
    <row r="2400" spans="3:3">
      <c r="C2400" s="148"/>
    </row>
    <row r="2401" spans="3:3">
      <c r="C2401" s="148"/>
    </row>
    <row r="2402" spans="3:3">
      <c r="C2402" s="148"/>
    </row>
    <row r="2403" spans="3:3">
      <c r="C2403" s="148"/>
    </row>
    <row r="2404" spans="3:3">
      <c r="C2404" s="148"/>
    </row>
    <row r="2405" spans="3:3">
      <c r="C2405" s="148"/>
    </row>
    <row r="2406" spans="3:3">
      <c r="C2406" s="148"/>
    </row>
    <row r="2407" spans="3:3">
      <c r="C2407" s="148"/>
    </row>
    <row r="2408" spans="3:3">
      <c r="C2408" s="148"/>
    </row>
    <row r="2409" spans="3:3">
      <c r="C2409" s="148"/>
    </row>
    <row r="2410" spans="3:3">
      <c r="C2410" s="148"/>
    </row>
    <row r="2411" spans="3:3">
      <c r="C2411" s="148"/>
    </row>
    <row r="2412" spans="3:3">
      <c r="C2412" s="148"/>
    </row>
    <row r="2413" spans="3:3">
      <c r="C2413" s="148"/>
    </row>
    <row r="2414" spans="3:3">
      <c r="C2414" s="148"/>
    </row>
    <row r="2415" spans="3:3">
      <c r="C2415" s="148"/>
    </row>
    <row r="2416" spans="3:3">
      <c r="C2416" s="148"/>
    </row>
    <row r="2417" spans="3:3">
      <c r="C2417" s="148"/>
    </row>
    <row r="2418" spans="3:3">
      <c r="C2418" s="148"/>
    </row>
    <row r="2419" spans="3:3">
      <c r="C2419" s="148"/>
    </row>
    <row r="2420" spans="3:3">
      <c r="C2420" s="148"/>
    </row>
    <row r="2421" spans="3:3">
      <c r="C2421" s="148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B85"/>
  <sheetViews>
    <sheetView showGridLines="0" workbookViewId="0"/>
  </sheetViews>
  <sheetFormatPr baseColWidth="10" defaultRowHeight="12.75"/>
  <cols>
    <col min="1" max="1" width="15.85546875" style="173" customWidth="1"/>
    <col min="2" max="2" width="79.140625" style="173" customWidth="1"/>
    <col min="3" max="16384" width="11.42578125" style="172"/>
  </cols>
  <sheetData>
    <row r="1" spans="1:2" ht="18">
      <c r="A1" s="174" t="s">
        <v>137</v>
      </c>
    </row>
    <row r="2" spans="1:2" ht="18">
      <c r="A2" s="174"/>
    </row>
    <row r="3" spans="1:2" ht="15" customHeight="1">
      <c r="A3" s="227" t="s">
        <v>138</v>
      </c>
      <c r="B3" s="228"/>
    </row>
    <row r="4" spans="1:2">
      <c r="A4" s="175" t="s">
        <v>117</v>
      </c>
      <c r="B4" s="175" t="s">
        <v>124</v>
      </c>
    </row>
    <row r="5" spans="1:2">
      <c r="A5" s="173" t="s">
        <v>125</v>
      </c>
      <c r="B5" s="208" t="s">
        <v>126</v>
      </c>
    </row>
    <row r="6" spans="1:2">
      <c r="A6" s="173" t="s">
        <v>127</v>
      </c>
      <c r="B6" s="208" t="s">
        <v>128</v>
      </c>
    </row>
    <row r="7" spans="1:2">
      <c r="A7" s="173" t="s">
        <v>129</v>
      </c>
      <c r="B7" s="208" t="s">
        <v>130</v>
      </c>
    </row>
    <row r="8" spans="1:2">
      <c r="A8" s="173" t="s">
        <v>217</v>
      </c>
      <c r="B8" s="208" t="s">
        <v>283</v>
      </c>
    </row>
    <row r="9" spans="1:2" ht="15" customHeight="1">
      <c r="A9" s="173" t="s">
        <v>225</v>
      </c>
      <c r="B9" s="208" t="s">
        <v>284</v>
      </c>
    </row>
    <row r="10" spans="1:2">
      <c r="A10" s="173" t="s">
        <v>230</v>
      </c>
      <c r="B10" s="208" t="s">
        <v>285</v>
      </c>
    </row>
    <row r="11" spans="1:2">
      <c r="A11" s="173" t="s">
        <v>235</v>
      </c>
      <c r="B11" s="208" t="s">
        <v>286</v>
      </c>
    </row>
    <row r="12" spans="1:2">
      <c r="A12" s="173" t="s">
        <v>240</v>
      </c>
      <c r="B12" s="208" t="s">
        <v>287</v>
      </c>
    </row>
    <row r="13" spans="1:2" ht="15" customHeight="1">
      <c r="A13" s="173" t="s">
        <v>245</v>
      </c>
      <c r="B13" s="208" t="s">
        <v>288</v>
      </c>
    </row>
    <row r="14" spans="1:2">
      <c r="A14" s="173" t="s">
        <v>250</v>
      </c>
      <c r="B14" s="208" t="s">
        <v>289</v>
      </c>
    </row>
    <row r="15" spans="1:2">
      <c r="A15" s="173" t="s">
        <v>255</v>
      </c>
      <c r="B15" s="208" t="s">
        <v>290</v>
      </c>
    </row>
    <row r="16" spans="1:2">
      <c r="A16" s="173" t="s">
        <v>260</v>
      </c>
      <c r="B16" s="208" t="s">
        <v>291</v>
      </c>
    </row>
    <row r="17" spans="1:2" ht="15" customHeight="1">
      <c r="A17" s="173" t="s">
        <v>265</v>
      </c>
      <c r="B17" s="208" t="s">
        <v>292</v>
      </c>
    </row>
    <row r="18" spans="1:2">
      <c r="A18" s="173" t="s">
        <v>223</v>
      </c>
      <c r="B18" s="208" t="s">
        <v>293</v>
      </c>
    </row>
    <row r="19" spans="1:2">
      <c r="A19" s="173" t="s">
        <v>228</v>
      </c>
      <c r="B19" s="208" t="s">
        <v>294</v>
      </c>
    </row>
    <row r="20" spans="1:2">
      <c r="A20" s="173" t="s">
        <v>233</v>
      </c>
      <c r="B20" s="208" t="s">
        <v>295</v>
      </c>
    </row>
    <row r="21" spans="1:2">
      <c r="A21" s="173" t="s">
        <v>238</v>
      </c>
      <c r="B21" s="208" t="s">
        <v>296</v>
      </c>
    </row>
    <row r="22" spans="1:2">
      <c r="A22" s="173" t="s">
        <v>243</v>
      </c>
      <c r="B22" s="208" t="s">
        <v>297</v>
      </c>
    </row>
    <row r="23" spans="1:2">
      <c r="A23" s="173" t="s">
        <v>248</v>
      </c>
      <c r="B23" s="208" t="s">
        <v>298</v>
      </c>
    </row>
    <row r="24" spans="1:2">
      <c r="A24" s="173" t="s">
        <v>253</v>
      </c>
      <c r="B24" s="208" t="s">
        <v>299</v>
      </c>
    </row>
    <row r="25" spans="1:2">
      <c r="A25" s="173" t="s">
        <v>258</v>
      </c>
      <c r="B25" s="208" t="s">
        <v>300</v>
      </c>
    </row>
    <row r="26" spans="1:2">
      <c r="A26" s="173" t="s">
        <v>263</v>
      </c>
      <c r="B26" s="208" t="s">
        <v>301</v>
      </c>
    </row>
    <row r="27" spans="1:2">
      <c r="A27" s="173" t="s">
        <v>268</v>
      </c>
      <c r="B27" s="208" t="s">
        <v>302</v>
      </c>
    </row>
    <row r="28" spans="1:2">
      <c r="A28" s="173" t="s">
        <v>224</v>
      </c>
      <c r="B28" s="173" t="s">
        <v>156</v>
      </c>
    </row>
    <row r="29" spans="1:2">
      <c r="A29" s="173" t="s">
        <v>229</v>
      </c>
      <c r="B29" s="173" t="s">
        <v>160</v>
      </c>
    </row>
    <row r="30" spans="1:2">
      <c r="A30" s="173" t="s">
        <v>234</v>
      </c>
      <c r="B30" s="173" t="s">
        <v>162</v>
      </c>
    </row>
    <row r="31" spans="1:2">
      <c r="A31" s="173" t="s">
        <v>239</v>
      </c>
      <c r="B31" s="173" t="s">
        <v>214</v>
      </c>
    </row>
    <row r="32" spans="1:2">
      <c r="A32" s="173" t="s">
        <v>244</v>
      </c>
      <c r="B32" s="173" t="s">
        <v>215</v>
      </c>
    </row>
    <row r="33" spans="1:2">
      <c r="A33" s="173" t="s">
        <v>249</v>
      </c>
      <c r="B33" s="173" t="s">
        <v>166</v>
      </c>
    </row>
    <row r="34" spans="1:2">
      <c r="A34" s="173" t="s">
        <v>254</v>
      </c>
      <c r="B34" s="173" t="s">
        <v>168</v>
      </c>
    </row>
    <row r="35" spans="1:2">
      <c r="A35" s="173" t="s">
        <v>259</v>
      </c>
      <c r="B35" s="173" t="s">
        <v>170</v>
      </c>
    </row>
    <row r="36" spans="1:2">
      <c r="A36" s="173" t="s">
        <v>264</v>
      </c>
      <c r="B36" s="173" t="s">
        <v>172</v>
      </c>
    </row>
    <row r="37" spans="1:2">
      <c r="A37" s="173" t="s">
        <v>269</v>
      </c>
      <c r="B37" s="173" t="s">
        <v>174</v>
      </c>
    </row>
    <row r="39" spans="1:2" ht="15" customHeight="1">
      <c r="A39" s="227" t="s">
        <v>139</v>
      </c>
      <c r="B39" s="228"/>
    </row>
    <row r="40" spans="1:2">
      <c r="A40" s="175" t="s">
        <v>131</v>
      </c>
      <c r="B40" s="175" t="s">
        <v>132</v>
      </c>
    </row>
    <row r="41" spans="1:2">
      <c r="A41" s="173" t="s">
        <v>133</v>
      </c>
      <c r="B41" s="173" t="s">
        <v>140</v>
      </c>
    </row>
    <row r="42" spans="1:2">
      <c r="A42" s="173" t="s">
        <v>218</v>
      </c>
      <c r="B42" s="173" t="s">
        <v>303</v>
      </c>
    </row>
    <row r="44" spans="1:2" ht="15">
      <c r="A44" s="227" t="s">
        <v>141</v>
      </c>
      <c r="B44" s="228"/>
    </row>
    <row r="45" spans="1:2">
      <c r="A45" s="176" t="s">
        <v>134</v>
      </c>
      <c r="B45" s="176" t="s">
        <v>135</v>
      </c>
    </row>
    <row r="46" spans="1:2">
      <c r="A46" s="177" t="s">
        <v>133</v>
      </c>
      <c r="B46" s="177" t="s">
        <v>142</v>
      </c>
    </row>
    <row r="47" spans="1:2">
      <c r="A47" s="172"/>
      <c r="B47" s="172"/>
    </row>
    <row r="48" spans="1:2" ht="15">
      <c r="A48" s="227" t="s">
        <v>346</v>
      </c>
      <c r="B48" s="228"/>
    </row>
    <row r="49" spans="1:2">
      <c r="A49" s="176" t="s">
        <v>143</v>
      </c>
      <c r="B49" s="176" t="s">
        <v>144</v>
      </c>
    </row>
    <row r="50" spans="1:2">
      <c r="A50" s="173" t="s">
        <v>0</v>
      </c>
      <c r="B50" s="172" t="s">
        <v>304</v>
      </c>
    </row>
    <row r="51" spans="1:2">
      <c r="A51" s="173" t="s">
        <v>1</v>
      </c>
      <c r="B51" s="172" t="s">
        <v>305</v>
      </c>
    </row>
    <row r="52" spans="1:2">
      <c r="A52" s="173" t="s">
        <v>2</v>
      </c>
      <c r="B52" s="172" t="s">
        <v>306</v>
      </c>
    </row>
    <row r="53" spans="1:2">
      <c r="A53" s="173" t="s">
        <v>68</v>
      </c>
      <c r="B53" s="172" t="s">
        <v>307</v>
      </c>
    </row>
    <row r="54" spans="1:2">
      <c r="A54" s="173" t="s">
        <v>4</v>
      </c>
      <c r="B54" s="172" t="s">
        <v>308</v>
      </c>
    </row>
    <row r="55" spans="1:2">
      <c r="A55" s="173" t="s">
        <v>5</v>
      </c>
      <c r="B55" s="172" t="s">
        <v>309</v>
      </c>
    </row>
    <row r="56" spans="1:2">
      <c r="A56" s="173" t="s">
        <v>6</v>
      </c>
      <c r="B56" s="172" t="s">
        <v>310</v>
      </c>
    </row>
    <row r="57" spans="1:2">
      <c r="A57" s="173" t="s">
        <v>7</v>
      </c>
      <c r="B57" s="172" t="s">
        <v>311</v>
      </c>
    </row>
    <row r="58" spans="1:2">
      <c r="A58" s="173" t="s">
        <v>8</v>
      </c>
      <c r="B58" s="172" t="s">
        <v>312</v>
      </c>
    </row>
    <row r="59" spans="1:2">
      <c r="A59" s="173" t="s">
        <v>9</v>
      </c>
      <c r="B59" s="172" t="s">
        <v>313</v>
      </c>
    </row>
    <row r="60" spans="1:2">
      <c r="A60" s="173" t="s">
        <v>70</v>
      </c>
      <c r="B60" s="172" t="s">
        <v>314</v>
      </c>
    </row>
    <row r="61" spans="1:2">
      <c r="A61" s="173" t="s">
        <v>10</v>
      </c>
      <c r="B61" s="172" t="s">
        <v>315</v>
      </c>
    </row>
    <row r="62" spans="1:2">
      <c r="A62" s="173" t="s">
        <v>59</v>
      </c>
      <c r="B62" s="172" t="s">
        <v>316</v>
      </c>
    </row>
    <row r="63" spans="1:2">
      <c r="A63" s="173" t="s">
        <v>66</v>
      </c>
      <c r="B63" s="172" t="s">
        <v>317</v>
      </c>
    </row>
    <row r="64" spans="1:2">
      <c r="A64" s="173" t="s">
        <v>145</v>
      </c>
      <c r="B64" s="172" t="s">
        <v>318</v>
      </c>
    </row>
    <row r="65" spans="1:2">
      <c r="A65" s="173" t="s">
        <v>146</v>
      </c>
      <c r="B65" s="172" t="s">
        <v>319</v>
      </c>
    </row>
    <row r="66" spans="1:2">
      <c r="A66" s="173" t="s">
        <v>61</v>
      </c>
      <c r="B66" s="172" t="s">
        <v>320</v>
      </c>
    </row>
    <row r="67" spans="1:2">
      <c r="A67" s="173" t="s">
        <v>147</v>
      </c>
      <c r="B67" s="172" t="s">
        <v>321</v>
      </c>
    </row>
    <row r="68" spans="1:2">
      <c r="A68" s="173" t="s">
        <v>148</v>
      </c>
      <c r="B68" s="172" t="s">
        <v>322</v>
      </c>
    </row>
    <row r="69" spans="1:2">
      <c r="A69" s="173" t="s">
        <v>149</v>
      </c>
      <c r="B69" s="172" t="s">
        <v>323</v>
      </c>
    </row>
    <row r="70" spans="1:2">
      <c r="A70" s="173" t="s">
        <v>136</v>
      </c>
      <c r="B70" s="172" t="s">
        <v>324</v>
      </c>
    </row>
    <row r="71" spans="1:2">
      <c r="A71" s="173" t="s">
        <v>272</v>
      </c>
      <c r="B71" s="208" t="s">
        <v>325</v>
      </c>
    </row>
    <row r="72" spans="1:2">
      <c r="A72" s="173" t="s">
        <v>273</v>
      </c>
      <c r="B72" s="208" t="s">
        <v>326</v>
      </c>
    </row>
    <row r="73" spans="1:2">
      <c r="A73" s="173" t="s">
        <v>274</v>
      </c>
      <c r="B73" s="208" t="s">
        <v>327</v>
      </c>
    </row>
    <row r="74" spans="1:2">
      <c r="A74" s="173" t="s">
        <v>275</v>
      </c>
      <c r="B74" s="208" t="s">
        <v>328</v>
      </c>
    </row>
    <row r="75" spans="1:2">
      <c r="A75" s="173" t="s">
        <v>276</v>
      </c>
      <c r="B75" s="208" t="s">
        <v>329</v>
      </c>
    </row>
    <row r="76" spans="1:2">
      <c r="A76" s="173" t="s">
        <v>277</v>
      </c>
      <c r="B76" s="208" t="s">
        <v>330</v>
      </c>
    </row>
    <row r="77" spans="1:2">
      <c r="A77" s="173" t="s">
        <v>278</v>
      </c>
      <c r="B77" s="208" t="s">
        <v>331</v>
      </c>
    </row>
    <row r="78" spans="1:2">
      <c r="A78" s="173" t="s">
        <v>279</v>
      </c>
      <c r="B78" s="208" t="s">
        <v>332</v>
      </c>
    </row>
    <row r="79" spans="1:2">
      <c r="A79" s="173" t="s">
        <v>280</v>
      </c>
      <c r="B79" s="208" t="s">
        <v>333</v>
      </c>
    </row>
    <row r="80" spans="1:2">
      <c r="A80" s="173" t="s">
        <v>281</v>
      </c>
      <c r="B80" s="208" t="s">
        <v>334</v>
      </c>
    </row>
    <row r="82" spans="1:2" ht="15">
      <c r="A82" s="227" t="s">
        <v>139</v>
      </c>
      <c r="B82" s="228"/>
    </row>
    <row r="83" spans="1:2">
      <c r="A83" s="175" t="s">
        <v>122</v>
      </c>
      <c r="B83" s="175" t="s">
        <v>335</v>
      </c>
    </row>
    <row r="84" spans="1:2">
      <c r="A84" s="173" t="s">
        <v>271</v>
      </c>
      <c r="B84" s="173" t="s">
        <v>336</v>
      </c>
    </row>
    <row r="85" spans="1:2">
      <c r="A85" s="173" t="s">
        <v>219</v>
      </c>
      <c r="B85" s="173" t="s">
        <v>337</v>
      </c>
    </row>
  </sheetData>
  <mergeCells count="5">
    <mergeCell ref="A44:B44"/>
    <mergeCell ref="A48:B48"/>
    <mergeCell ref="A82:B82"/>
    <mergeCell ref="A3:B3"/>
    <mergeCell ref="A39:B39"/>
  </mergeCells>
  <pageMargins left="0.75" right="0.75" top="1" bottom="1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86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158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156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5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89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Toro'!C$6,DATOS!$B:$B,"B100101_01",DATOS!$G:$G,"0311",DATOS!$C:$C,"00")</f>
        <v>109.33795014829207</v>
      </c>
      <c r="D7" s="194">
        <f>SUMIFS(DATOS!$F:$F,DATOS!$D:$D,$A7,DATOS!$A:$A,'Cuadro 2-Bocas del Toro'!D$6,DATOS!$B:$B,"B100101_01",DATOS!$G:$G,"0311",DATOS!$C:$C,"00")</f>
        <v>173.46801324013632</v>
      </c>
      <c r="E7" s="194">
        <f>SUMIFS(DATOS!$F:$F,DATOS!$D:$D,$A7,DATOS!$A:$A,'Cuadro 2-Bocas del Toro'!E$6,DATOS!$B:$B,"B100101_01",DATOS!$G:$G,"0311",DATOS!$C:$C,"00")</f>
        <v>184.45308728314038</v>
      </c>
      <c r="F7" s="194">
        <f>SUMIFS(DATOS!$F:$F,DATOS!$D:$D,$A7,DATOS!$A:$A,'Cuadro 2-Bocas del Toro'!F$6,DATOS!$B:$B,"B100101_01",DATOS!$G:$G,"0311",DATOS!$C:$C,"00")</f>
        <v>160.50334284536723</v>
      </c>
      <c r="G7" s="194">
        <f>SUMIFS(DATOS!$F:$F,DATOS!$D:$D,$A7,DATOS!$A:$A,'Cuadro 2-Bocas del Toro'!G$6,DATOS!$B:$B,"B100101_01",DATOS!$G:$G,"0311",DATOS!$C:$C,"00")</f>
        <v>144.10788878063968</v>
      </c>
      <c r="H7" s="194">
        <f>SUMIFS(DATOS!$F:$F,DATOS!$D:$D,$A7,DATOS!$A:$A,'Cuadro 2-Bocas del Toro'!H$6,DATOS!$B:$B,"B100101_01",DATOS!$G:$G,"0311",DATOS!$C:$C,"00")</f>
        <v>161.10112623822494</v>
      </c>
      <c r="I7" s="195">
        <f>SUMIFS(DATOS!$F:$F,DATOS!$D:$D,$A7,DATOS!$A:$A,'Cuadro 2-Bocas del Toro'!I$6,DATOS!$B:$B,"B100101_01",DATOS!$G:$G,"0311",DATOS!$C:$C,"00")</f>
        <v>159.26704431476105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Toro'!C$6,DATOS!$B:$B,"B100101_01",DATOS!$G:$G,"0311",DATOS!$C:$C,"00")</f>
        <v>3.1641821972122393</v>
      </c>
      <c r="D8" s="194">
        <f>SUMIFS(DATOS!$F:$F,DATOS!$D:$D,$A8,DATOS!$A:$A,'Cuadro 2-Bocas del Toro'!D$6,DATOS!$B:$B,"B100101_01",DATOS!$G:$G,"0311",DATOS!$C:$C,"00")</f>
        <v>8.4336162851817384</v>
      </c>
      <c r="E8" s="194">
        <f>SUMIFS(DATOS!$F:$F,DATOS!$D:$D,$A8,DATOS!$A:$A,'Cuadro 2-Bocas del Toro'!E$6,DATOS!$B:$B,"B100101_01",DATOS!$G:$G,"0311",DATOS!$C:$C,"00")</f>
        <v>2.8447680160876643</v>
      </c>
      <c r="F8" s="194">
        <f>SUMIFS(DATOS!$F:$F,DATOS!$D:$D,$A8,DATOS!$A:$A,'Cuadro 2-Bocas del Toro'!F$6,DATOS!$B:$B,"B100101_01",DATOS!$G:$G,"0311",DATOS!$C:$C,"00")</f>
        <v>6.1618016630327626</v>
      </c>
      <c r="G8" s="194">
        <f>SUMIFS(DATOS!$F:$F,DATOS!$D:$D,$A8,DATOS!$A:$A,'Cuadro 2-Bocas del Toro'!G$6,DATOS!$B:$B,"B100101_01",DATOS!$G:$G,"0311",DATOS!$C:$C,"00")</f>
        <v>6.3751009164473578</v>
      </c>
      <c r="H8" s="194">
        <f>SUMIFS(DATOS!$F:$F,DATOS!$D:$D,$A8,DATOS!$A:$A,'Cuadro 2-Bocas del Toro'!H$6,DATOS!$B:$B,"B100101_01",DATOS!$G:$G,"0311",DATOS!$C:$C,"00")</f>
        <v>6.1512849672120247</v>
      </c>
      <c r="I8" s="195">
        <f>SUMIFS(DATOS!$F:$F,DATOS!$D:$D,$A8,DATOS!$A:$A,'Cuadro 2-Bocas del Toro'!I$6,DATOS!$B:$B,"B100101_01",DATOS!$G:$G,"0311",DATOS!$C:$C,"00")</f>
        <v>10.695507079130959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Toro'!C$6,DATOS!$B:$B,"B100101_01",DATOS!$G:$G,"0311",DATOS!$C:$C,"00")</f>
        <v>0.48768060396060453</v>
      </c>
      <c r="D9" s="194">
        <f>SUMIFS(DATOS!$F:$F,DATOS!$D:$D,$A9,DATOS!$A:$A,'Cuadro 2-Bocas del Toro'!D$6,DATOS!$B:$B,"B100101_01",DATOS!$G:$G,"0311",DATOS!$C:$C,"00")</f>
        <v>0.4803899552908551</v>
      </c>
      <c r="E9" s="194">
        <f>SUMIFS(DATOS!$F:$F,DATOS!$D:$D,$A9,DATOS!$A:$A,'Cuadro 2-Bocas del Toro'!E$6,DATOS!$B:$B,"B100101_01",DATOS!$G:$G,"0311",DATOS!$C:$C,"00")</f>
        <v>0.41987286389992889</v>
      </c>
      <c r="F9" s="194">
        <f>SUMIFS(DATOS!$F:$F,DATOS!$D:$D,$A9,DATOS!$A:$A,'Cuadro 2-Bocas del Toro'!F$6,DATOS!$B:$B,"B100101_01",DATOS!$G:$G,"0311",DATOS!$C:$C,"00")</f>
        <v>0.60431151105825054</v>
      </c>
      <c r="G9" s="194">
        <f>SUMIFS(DATOS!$F:$F,DATOS!$D:$D,$A9,DATOS!$A:$A,'Cuadro 2-Bocas del Toro'!G$6,DATOS!$B:$B,"B100101_01",DATOS!$G:$G,"0311",DATOS!$C:$C,"00")</f>
        <v>0.69488059548259673</v>
      </c>
      <c r="H9" s="194">
        <f>SUMIFS(DATOS!$F:$F,DATOS!$D:$D,$A9,DATOS!$A:$A,'Cuadro 2-Bocas del Toro'!H$6,DATOS!$B:$B,"B100101_01",DATOS!$G:$G,"0311",DATOS!$C:$C,"00")</f>
        <v>0.61639684960130603</v>
      </c>
      <c r="I9" s="195">
        <f>SUMIFS(DATOS!$F:$F,DATOS!$D:$D,$A9,DATOS!$A:$A,'Cuadro 2-Bocas del Toro'!I$6,DATOS!$B:$B,"B100101_01",DATOS!$G:$G,"0311",DATOS!$C:$C,"00")</f>
        <v>0.77373798788766346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Toro'!C$6,DATOS!$B:$B,"B100101_01",DATOS!$G:$G,"0311",DATOS!$C:$C,"00")</f>
        <v>207.96915043260398</v>
      </c>
      <c r="D10" s="194">
        <f>SUMIFS(DATOS!$F:$F,DATOS!$D:$D,$A10,DATOS!$A:$A,'Cuadro 2-Bocas del Toro'!D$6,DATOS!$B:$B,"B100101_01",DATOS!$G:$G,"0311",DATOS!$C:$C,"00")</f>
        <v>47.040925223456789</v>
      </c>
      <c r="E10" s="194">
        <f>SUMIFS(DATOS!$F:$F,DATOS!$D:$D,$A10,DATOS!$A:$A,'Cuadro 2-Bocas del Toro'!E$6,DATOS!$B:$B,"B100101_01",DATOS!$G:$G,"0311",DATOS!$C:$C,"00")</f>
        <v>183.2468195690557</v>
      </c>
      <c r="F10" s="194">
        <f>SUMIFS(DATOS!$F:$F,DATOS!$D:$D,$A10,DATOS!$A:$A,'Cuadro 2-Bocas del Toro'!F$6,DATOS!$B:$B,"B100101_01",DATOS!$G:$G,"0311",DATOS!$C:$C,"00")</f>
        <v>248.33107419951898</v>
      </c>
      <c r="G10" s="194">
        <f>SUMIFS(DATOS!$F:$F,DATOS!$D:$D,$A10,DATOS!$A:$A,'Cuadro 2-Bocas del Toro'!G$6,DATOS!$B:$B,"B100101_01",DATOS!$G:$G,"0311",DATOS!$C:$C,"00")</f>
        <v>240.16240942064749</v>
      </c>
      <c r="H10" s="194">
        <f>SUMIFS(DATOS!$F:$F,DATOS!$D:$D,$A10,DATOS!$A:$A,'Cuadro 2-Bocas del Toro'!H$6,DATOS!$B:$B,"B100101_01",DATOS!$G:$G,"0311",DATOS!$C:$C,"00")</f>
        <v>195.17738783494249</v>
      </c>
      <c r="I10" s="195">
        <f>SUMIFS(DATOS!$F:$F,DATOS!$D:$D,$A10,DATOS!$A:$A,'Cuadro 2-Bocas del Toro'!I$6,DATOS!$B:$B,"B100101_01",DATOS!$G:$G,"0311",DATOS!$C:$C,"00")</f>
        <v>211.95581680435689</v>
      </c>
    </row>
    <row r="11" spans="1:12" ht="32.25" customHeight="1">
      <c r="A11" s="56" t="s">
        <v>4</v>
      </c>
      <c r="B11" s="60" t="s">
        <v>94</v>
      </c>
      <c r="C11" s="194">
        <f>SUMIFS(DATOS!$F:$F,DATOS!$D:$D,$A11,DATOS!$A:$A,'Cuadro 2-Bocas del Toro'!C$6,DATOS!$B:$B,"B100101_01",DATOS!$G:$G,"0311",DATOS!$C:$C,"00")</f>
        <v>43.630701431000745</v>
      </c>
      <c r="D11" s="194">
        <f>SUMIFS(DATOS!$F:$F,DATOS!$D:$D,$A11,DATOS!$A:$A,'Cuadro 2-Bocas del Toro'!D$6,DATOS!$B:$B,"B100101_01",DATOS!$G:$G,"0311",DATOS!$C:$C,"00")</f>
        <v>106.83441737056903</v>
      </c>
      <c r="E11" s="194">
        <f>SUMIFS(DATOS!$F:$F,DATOS!$D:$D,$A11,DATOS!$A:$A,'Cuadro 2-Bocas del Toro'!E$6,DATOS!$B:$B,"B100101_01",DATOS!$G:$G,"0311",DATOS!$C:$C,"00")</f>
        <v>36.479067609828441</v>
      </c>
      <c r="F11" s="194">
        <f>SUMIFS(DATOS!$F:$F,DATOS!$D:$D,$A11,DATOS!$A:$A,'Cuadro 2-Bocas del Toro'!F$6,DATOS!$B:$B,"B100101_01",DATOS!$G:$G,"0311",DATOS!$C:$C,"00")</f>
        <v>74.480550389714438</v>
      </c>
      <c r="G11" s="194">
        <f>SUMIFS(DATOS!$F:$F,DATOS!$D:$D,$A11,DATOS!$A:$A,'Cuadro 2-Bocas del Toro'!G$6,DATOS!$B:$B,"B100101_01",DATOS!$G:$G,"0311",DATOS!$C:$C,"00")</f>
        <v>72.523038950660251</v>
      </c>
      <c r="H11" s="194">
        <f>SUMIFS(DATOS!$F:$F,DATOS!$D:$D,$A11,DATOS!$A:$A,'Cuadro 2-Bocas del Toro'!H$6,DATOS!$B:$B,"B100101_01",DATOS!$G:$G,"0311",DATOS!$C:$C,"00")</f>
        <v>70.20039442302722</v>
      </c>
      <c r="I11" s="195">
        <f>SUMIFS(DATOS!$F:$F,DATOS!$D:$D,$A11,DATOS!$A:$A,'Cuadro 2-Bocas del Toro'!I$6,DATOS!$B:$B,"B100101_01",DATOS!$G:$G,"0311",DATOS!$C:$C,"00")</f>
        <v>84.437338985561823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Toro'!C$6,DATOS!$B:$B,"B100101_01",DATOS!$G:$G,"0311",DATOS!$C:$C,"00")</f>
        <v>14.472018320433014</v>
      </c>
      <c r="D12" s="194">
        <f>SUMIFS(DATOS!$F:$F,DATOS!$D:$D,$A12,DATOS!$A:$A,'Cuadro 2-Bocas del Toro'!D$6,DATOS!$B:$B,"B100101_01",DATOS!$G:$G,"0311",DATOS!$C:$C,"00")</f>
        <v>19.030432817144817</v>
      </c>
      <c r="E12" s="194">
        <f>SUMIFS(DATOS!$F:$F,DATOS!$D:$D,$A12,DATOS!$A:$A,'Cuadro 2-Bocas del Toro'!E$6,DATOS!$B:$B,"B100101_01",DATOS!$G:$G,"0311",DATOS!$C:$C,"00")</f>
        <v>17.029818395035953</v>
      </c>
      <c r="F12" s="194">
        <f>SUMIFS(DATOS!$F:$F,DATOS!$D:$D,$A12,DATOS!$A:$A,'Cuadro 2-Bocas del Toro'!F$6,DATOS!$B:$B,"B100101_01",DATOS!$G:$G,"0311",DATOS!$C:$C,"00")</f>
        <v>18.840476170508516</v>
      </c>
      <c r="G12" s="194">
        <f>SUMIFS(DATOS!$F:$F,DATOS!$D:$D,$A12,DATOS!$A:$A,'Cuadro 2-Bocas del Toro'!G$6,DATOS!$B:$B,"B100101_01",DATOS!$G:$G,"0311",DATOS!$C:$C,"00")</f>
        <v>21.02225300111569</v>
      </c>
      <c r="H12" s="194">
        <f>SUMIFS(DATOS!$F:$F,DATOS!$D:$D,$A12,DATOS!$A:$A,'Cuadro 2-Bocas del Toro'!H$6,DATOS!$B:$B,"B100101_01",DATOS!$G:$G,"0311",DATOS!$C:$C,"00")</f>
        <v>22.312645119945035</v>
      </c>
      <c r="I12" s="195">
        <f>SUMIFS(DATOS!$F:$F,DATOS!$D:$D,$A12,DATOS!$A:$A,'Cuadro 2-Bocas del Toro'!I$6,DATOS!$B:$B,"B100101_01",DATOS!$G:$G,"0311",DATOS!$C:$C,"00")</f>
        <v>25.034957473356336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Toro'!C$6,DATOS!$B:$B,"B100101_01",DATOS!$G:$G,"0311",DATOS!$C:$C,"00")</f>
        <v>67.6296429833735</v>
      </c>
      <c r="D13" s="194">
        <f>SUMIFS(DATOS!$F:$F,DATOS!$D:$D,$A13,DATOS!$A:$A,'Cuadro 2-Bocas del Toro'!D$6,DATOS!$B:$B,"B100101_01",DATOS!$G:$G,"0311",DATOS!$C:$C,"00")</f>
        <v>71.175145944413956</v>
      </c>
      <c r="E13" s="194">
        <f>SUMIFS(DATOS!$F:$F,DATOS!$D:$D,$A13,DATOS!$A:$A,'Cuadro 2-Bocas del Toro'!E$6,DATOS!$B:$B,"B100101_01",DATOS!$G:$G,"0311",DATOS!$C:$C,"00")</f>
        <v>65.024010249531329</v>
      </c>
      <c r="F13" s="194">
        <f>SUMIFS(DATOS!$F:$F,DATOS!$D:$D,$A13,DATOS!$A:$A,'Cuadro 2-Bocas del Toro'!F$6,DATOS!$B:$B,"B100101_01",DATOS!$G:$G,"0311",DATOS!$C:$C,"00")</f>
        <v>69.552164736008535</v>
      </c>
      <c r="G13" s="194">
        <f>SUMIFS(DATOS!$F:$F,DATOS!$D:$D,$A13,DATOS!$A:$A,'Cuadro 2-Bocas del Toro'!G$6,DATOS!$B:$B,"B100101_01",DATOS!$G:$G,"0311",DATOS!$C:$C,"00")</f>
        <v>74.411919993780927</v>
      </c>
      <c r="H13" s="194">
        <f>SUMIFS(DATOS!$F:$F,DATOS!$D:$D,$A13,DATOS!$A:$A,'Cuadro 2-Bocas del Toro'!H$6,DATOS!$B:$B,"B100101_01",DATOS!$G:$G,"0311",DATOS!$C:$C,"00")</f>
        <v>79.162579478282808</v>
      </c>
      <c r="I13" s="195">
        <f>SUMIFS(DATOS!$F:$F,DATOS!$D:$D,$A13,DATOS!$A:$A,'Cuadro 2-Bocas del Toro'!I$6,DATOS!$B:$B,"B100101_01",DATOS!$G:$G,"0311",DATOS!$C:$C,"00")</f>
        <v>91.535126949484962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Toro'!C$6,DATOS!$B:$B,"B100101_01",DATOS!$G:$G,"0311",DATOS!$C:$C,"00")</f>
        <v>12.021573196877993</v>
      </c>
      <c r="D14" s="194">
        <f>SUMIFS(DATOS!$F:$F,DATOS!$D:$D,$A14,DATOS!$A:$A,'Cuadro 2-Bocas del Toro'!D$6,DATOS!$B:$B,"B100101_01",DATOS!$G:$G,"0311",DATOS!$C:$C,"00")</f>
        <v>11.31877238934644</v>
      </c>
      <c r="E14" s="194">
        <f>SUMIFS(DATOS!$F:$F,DATOS!$D:$D,$A14,DATOS!$A:$A,'Cuadro 2-Bocas del Toro'!E$6,DATOS!$B:$B,"B100101_01",DATOS!$G:$G,"0311",DATOS!$C:$C,"00")</f>
        <v>4.0936616003019859</v>
      </c>
      <c r="F14" s="194">
        <f>SUMIFS(DATOS!$F:$F,DATOS!$D:$D,$A14,DATOS!$A:$A,'Cuadro 2-Bocas del Toro'!F$6,DATOS!$B:$B,"B100101_01",DATOS!$G:$G,"0311",DATOS!$C:$C,"00")</f>
        <v>4.5883631669144389</v>
      </c>
      <c r="G14" s="194">
        <f>SUMIFS(DATOS!$F:$F,DATOS!$D:$D,$A14,DATOS!$A:$A,'Cuadro 2-Bocas del Toro'!G$6,DATOS!$B:$B,"B100101_01",DATOS!$G:$G,"0311",DATOS!$C:$C,"00")</f>
        <v>6.0910570827474944</v>
      </c>
      <c r="H14" s="194">
        <f>SUMIFS(DATOS!$F:$F,DATOS!$D:$D,$A14,DATOS!$A:$A,'Cuadro 2-Bocas del Toro'!H$6,DATOS!$B:$B,"B100101_01",DATOS!$G:$G,"0311",DATOS!$C:$C,"00")</f>
        <v>6.7983630942788738</v>
      </c>
      <c r="I14" s="195">
        <f>SUMIFS(DATOS!$F:$F,DATOS!$D:$D,$A14,DATOS!$A:$A,'Cuadro 2-Bocas del Toro'!I$6,DATOS!$B:$B,"B100101_01",DATOS!$G:$G,"0311",DATOS!$C:$C,"00")</f>
        <v>7.4103774652264551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Toro'!C$6,DATOS!$B:$B,"B100101_01",DATOS!$G:$G,"0311",DATOS!$C:$C,"00")</f>
        <v>65.211969253007013</v>
      </c>
      <c r="D15" s="194">
        <f>SUMIFS(DATOS!$F:$F,DATOS!$D:$D,$A15,DATOS!$A:$A,'Cuadro 2-Bocas del Toro'!D$6,DATOS!$B:$B,"B100101_01",DATOS!$G:$G,"0311",DATOS!$C:$C,"00")</f>
        <v>66.224588831773843</v>
      </c>
      <c r="E15" s="194">
        <f>SUMIFS(DATOS!$F:$F,DATOS!$D:$D,$A15,DATOS!$A:$A,'Cuadro 2-Bocas del Toro'!E$6,DATOS!$B:$B,"B100101_01",DATOS!$G:$G,"0311",DATOS!$C:$C,"00")</f>
        <v>66.713906630521819</v>
      </c>
      <c r="F15" s="194">
        <f>SUMIFS(DATOS!$F:$F,DATOS!$D:$D,$A15,DATOS!$A:$A,'Cuadro 2-Bocas del Toro'!F$6,DATOS!$B:$B,"B100101_01",DATOS!$G:$G,"0311",DATOS!$C:$C,"00")</f>
        <v>73.201594334924124</v>
      </c>
      <c r="G15" s="194">
        <f>SUMIFS(DATOS!$F:$F,DATOS!$D:$D,$A15,DATOS!$A:$A,'Cuadro 2-Bocas del Toro'!G$6,DATOS!$B:$B,"B100101_01",DATOS!$G:$G,"0311",DATOS!$C:$C,"00")</f>
        <v>73.423921063261844</v>
      </c>
      <c r="H15" s="194">
        <f>SUMIFS(DATOS!$F:$F,DATOS!$D:$D,$A15,DATOS!$A:$A,'Cuadro 2-Bocas del Toro'!H$6,DATOS!$B:$B,"B100101_01",DATOS!$G:$G,"0311",DATOS!$C:$C,"00")</f>
        <v>79.906085361067468</v>
      </c>
      <c r="I15" s="195">
        <f>SUMIFS(DATOS!$F:$F,DATOS!$D:$D,$A15,DATOS!$A:$A,'Cuadro 2-Bocas del Toro'!I$6,DATOS!$B:$B,"B100101_01",DATOS!$G:$G,"0311",DATOS!$C:$C,"00")</f>
        <v>86.05397584969225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Toro'!C$6,DATOS!$B:$B,"B100101_01",DATOS!$G:$G,"0311",DATOS!$C:$C,"00")</f>
        <v>14.327990645623153</v>
      </c>
      <c r="D16" s="194">
        <f>SUMIFS(DATOS!$F:$F,DATOS!$D:$D,$A16,DATOS!$A:$A,'Cuadro 2-Bocas del Toro'!D$6,DATOS!$B:$B,"B100101_01",DATOS!$G:$G,"0311",DATOS!$C:$C,"00")</f>
        <v>15.12284304062476</v>
      </c>
      <c r="E16" s="194">
        <f>SUMIFS(DATOS!$F:$F,DATOS!$D:$D,$A16,DATOS!$A:$A,'Cuadro 2-Bocas del Toro'!E$6,DATOS!$B:$B,"B100101_01",DATOS!$G:$G,"0311",DATOS!$C:$C,"00")</f>
        <v>14.561426310754268</v>
      </c>
      <c r="F16" s="194">
        <f>SUMIFS(DATOS!$F:$F,DATOS!$D:$D,$A16,DATOS!$A:$A,'Cuadro 2-Bocas del Toro'!F$6,DATOS!$B:$B,"B100101_01",DATOS!$G:$G,"0311",DATOS!$C:$C,"00")</f>
        <v>16.312331326434478</v>
      </c>
      <c r="G16" s="194">
        <f>SUMIFS(DATOS!$F:$F,DATOS!$D:$D,$A16,DATOS!$A:$A,'Cuadro 2-Bocas del Toro'!G$6,DATOS!$B:$B,"B100101_01",DATOS!$G:$G,"0311",DATOS!$C:$C,"00")</f>
        <v>17.988168370656034</v>
      </c>
      <c r="H16" s="194">
        <f>SUMIFS(DATOS!$F:$F,DATOS!$D:$D,$A16,DATOS!$A:$A,'Cuadro 2-Bocas del Toro'!H$6,DATOS!$B:$B,"B100101_01",DATOS!$G:$G,"0311",DATOS!$C:$C,"00")</f>
        <v>17.559143514623763</v>
      </c>
      <c r="I16" s="195">
        <f>SUMIFS(DATOS!$F:$F,DATOS!$D:$D,$A16,DATOS!$A:$A,'Cuadro 2-Bocas del Toro'!I$6,DATOS!$B:$B,"B100101_01",DATOS!$G:$G,"0311",DATOS!$C:$C,"00")</f>
        <v>18.484816126223869</v>
      </c>
    </row>
    <row r="17" spans="1:16" ht="32.25" customHeight="1">
      <c r="A17" s="56" t="s">
        <v>70</v>
      </c>
      <c r="B17" s="60" t="s">
        <v>95</v>
      </c>
      <c r="C17" s="194">
        <f>SUMIFS(DATOS!$F:$F,DATOS!$D:$D,$A17,DATOS!$A:$A,'Cuadro 2-Bocas del Toro'!C$6,DATOS!$B:$B,"B100101_01",DATOS!$G:$G,"0311",DATOS!$C:$C,"00")</f>
        <v>78.65631979023415</v>
      </c>
      <c r="D17" s="194">
        <f>SUMIFS(DATOS!$F:$F,DATOS!$D:$D,$A17,DATOS!$A:$A,'Cuadro 2-Bocas del Toro'!D$6,DATOS!$B:$B,"B100101_01",DATOS!$G:$G,"0311",DATOS!$C:$C,"00")</f>
        <v>96.065179393088826</v>
      </c>
      <c r="E17" s="194">
        <f>SUMIFS(DATOS!$F:$F,DATOS!$D:$D,$A17,DATOS!$A:$A,'Cuadro 2-Bocas del Toro'!E$6,DATOS!$B:$B,"B100101_01",DATOS!$G:$G,"0311",DATOS!$C:$C,"00")</f>
        <v>84.490897021493069</v>
      </c>
      <c r="F17" s="194">
        <f>SUMIFS(DATOS!$F:$F,DATOS!$D:$D,$A17,DATOS!$A:$A,'Cuadro 2-Bocas del Toro'!F$6,DATOS!$B:$B,"B100101_01",DATOS!$G:$G,"0311",DATOS!$C:$C,"00")</f>
        <v>74.635211923517431</v>
      </c>
      <c r="G17" s="194">
        <f>SUMIFS(DATOS!$F:$F,DATOS!$D:$D,$A17,DATOS!$A:$A,'Cuadro 2-Bocas del Toro'!G$6,DATOS!$B:$B,"B100101_01",DATOS!$G:$G,"0311",DATOS!$C:$C,"00")</f>
        <v>106.0975586025279</v>
      </c>
      <c r="H17" s="194">
        <f>SUMIFS(DATOS!$F:$F,DATOS!$D:$D,$A17,DATOS!$A:$A,'Cuadro 2-Bocas del Toro'!H$6,DATOS!$B:$B,"B100101_01",DATOS!$G:$G,"0311",DATOS!$C:$C,"00")</f>
        <v>117.85218212419602</v>
      </c>
      <c r="I17" s="195">
        <f>SUMIFS(DATOS!$F:$F,DATOS!$D:$D,$A17,DATOS!$A:$A,'Cuadro 2-Bocas del Toro'!I$6,DATOS!$B:$B,"B100101_01",DATOS!$G:$G,"0311",DATOS!$C:$C,"00")</f>
        <v>120.50522603314057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Toro'!C$6,DATOS!$B:$B,"B100101_01",DATOS!$G:$G,"0311",DATOS!$C:$C,"00")</f>
        <v>0.56547382790381884</v>
      </c>
      <c r="D18" s="194">
        <f>SUMIFS(DATOS!$F:$F,DATOS!$D:$D,$A18,DATOS!$A:$A,'Cuadro 2-Bocas del Toro'!D$6,DATOS!$B:$B,"B100101_01",DATOS!$G:$G,"0311",DATOS!$C:$C,"00")</f>
        <v>0.965298432860353</v>
      </c>
      <c r="E18" s="194">
        <f>SUMIFS(DATOS!$F:$F,DATOS!$D:$D,$A18,DATOS!$A:$A,'Cuadro 2-Bocas del Toro'!E$6,DATOS!$B:$B,"B100101_01",DATOS!$G:$G,"0311",DATOS!$C:$C,"00")</f>
        <v>0.47018581327009279</v>
      </c>
      <c r="F18" s="194">
        <f>SUMIFS(DATOS!$F:$F,DATOS!$D:$D,$A18,DATOS!$A:$A,'Cuadro 2-Bocas del Toro'!F$6,DATOS!$B:$B,"B100101_01",DATOS!$G:$G,"0311",DATOS!$C:$C,"00")</f>
        <v>0.58985138883419308</v>
      </c>
      <c r="G18" s="194">
        <f>SUMIFS(DATOS!$F:$F,DATOS!$D:$D,$A18,DATOS!$A:$A,'Cuadro 2-Bocas del Toro'!G$6,DATOS!$B:$B,"B100101_01",DATOS!$G:$G,"0311",DATOS!$C:$C,"00")</f>
        <v>0.75615003812611947</v>
      </c>
      <c r="H18" s="194">
        <f>SUMIFS(DATOS!$F:$F,DATOS!$D:$D,$A18,DATOS!$A:$A,'Cuadro 2-Bocas del Toro'!H$6,DATOS!$B:$B,"B100101_01",DATOS!$G:$G,"0311",DATOS!$C:$C,"00")</f>
        <v>0.83068659370697728</v>
      </c>
      <c r="I18" s="195">
        <f>SUMIFS(DATOS!$F:$F,DATOS!$D:$D,$A18,DATOS!$A:$A,'Cuadro 2-Bocas del Toro'!I$6,DATOS!$B:$B,"B100101_01",DATOS!$G:$G,"0311",DATOS!$C:$C,"00")</f>
        <v>0.79467650318649674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Toro'!C$6,DATOS!$B:$B,"B100101_01",DATOS!$G:$G,"0311",DATOS!$C:$C,"00")</f>
        <v>3.3368928139877317E-2</v>
      </c>
      <c r="D19" s="194">
        <f>SUMIFS(DATOS!$F:$F,DATOS!$D:$D,$A19,DATOS!$A:$A,'Cuadro 2-Bocas del Toro'!D$6,DATOS!$B:$B,"B100101_01",DATOS!$G:$G,"0311",DATOS!$C:$C,"00")</f>
        <v>5.2777492473069516E-2</v>
      </c>
      <c r="E19" s="194">
        <f>SUMIFS(DATOS!$F:$F,DATOS!$D:$D,$A19,DATOS!$A:$A,'Cuadro 2-Bocas del Toro'!E$6,DATOS!$B:$B,"B100101_01",DATOS!$G:$G,"0311",DATOS!$C:$C,"00")</f>
        <v>5.4926737877217906E-2</v>
      </c>
      <c r="F19" s="194">
        <f>SUMIFS(DATOS!$F:$F,DATOS!$D:$D,$A19,DATOS!$A:$A,'Cuadro 2-Bocas del Toro'!F$6,DATOS!$B:$B,"B100101_01",DATOS!$G:$G,"0311",DATOS!$C:$C,"00")</f>
        <v>5.1818483750439015E-2</v>
      </c>
      <c r="G19" s="194">
        <f>SUMIFS(DATOS!$F:$F,DATOS!$D:$D,$A19,DATOS!$A:$A,'Cuadro 2-Bocas del Toro'!G$6,DATOS!$B:$B,"B100101_01",DATOS!$G:$G,"0311",DATOS!$C:$C,"00")</f>
        <v>6.390971087972358E-2</v>
      </c>
      <c r="H19" s="194">
        <f>SUMIFS(DATOS!$F:$F,DATOS!$D:$D,$A19,DATOS!$A:$A,'Cuadro 2-Bocas del Toro'!H$6,DATOS!$B:$B,"B100101_01",DATOS!$G:$G,"0311",DATOS!$C:$C,"00")</f>
        <v>6.7147507764392975E-2</v>
      </c>
      <c r="I19" s="195">
        <f>SUMIFS(DATOS!$F:$F,DATOS!$D:$D,$A19,DATOS!$A:$A,'Cuadro 2-Bocas del Toro'!I$6,DATOS!$B:$B,"B100101_01",DATOS!$G:$G,"0311",DATOS!$C:$C,"00")</f>
        <v>7.0872795835514604E-2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Toro'!C$6,DATOS!$B:$B,"B100101_01",DATOS!$G:$G,"0311",DATOS!$C:$C,"00")</f>
        <v>1.5189522919460241</v>
      </c>
      <c r="D20" s="194">
        <f>SUMIFS(DATOS!$F:$F,DATOS!$D:$D,$A20,DATOS!$A:$A,'Cuadro 2-Bocas del Toro'!D$6,DATOS!$B:$B,"B100101_01",DATOS!$G:$G,"0311",DATOS!$C:$C,"00")</f>
        <v>1.4011440929424821</v>
      </c>
      <c r="E20" s="194">
        <f>SUMIFS(DATOS!$F:$F,DATOS!$D:$D,$A20,DATOS!$A:$A,'Cuadro 2-Bocas del Toro'!E$6,DATOS!$B:$B,"B100101_01",DATOS!$G:$G,"0311",DATOS!$C:$C,"00")</f>
        <v>0.91408653810031015</v>
      </c>
      <c r="F20" s="194">
        <f>SUMIFS(DATOS!$F:$F,DATOS!$D:$D,$A20,DATOS!$A:$A,'Cuadro 2-Bocas del Toro'!F$6,DATOS!$B:$B,"B100101_01",DATOS!$G:$G,"0311",DATOS!$C:$C,"00")</f>
        <v>0.85553684870108526</v>
      </c>
      <c r="G20" s="194">
        <f>SUMIFS(DATOS!$F:$F,DATOS!$D:$D,$A20,DATOS!$A:$A,'Cuadro 2-Bocas del Toro'!G$6,DATOS!$B:$B,"B100101_01",DATOS!$G:$G,"0311",DATOS!$C:$C,"00")</f>
        <v>0.86858777929301001</v>
      </c>
      <c r="H20" s="194">
        <f>SUMIFS(DATOS!$F:$F,DATOS!$D:$D,$A20,DATOS!$A:$A,'Cuadro 2-Bocas del Toro'!H$6,DATOS!$B:$B,"B100101_01",DATOS!$G:$G,"0311",DATOS!$C:$C,"00")</f>
        <v>0.90182126610380675</v>
      </c>
      <c r="I20" s="195">
        <f>SUMIFS(DATOS!$F:$F,DATOS!$D:$D,$A20,DATOS!$A:$A,'Cuadro 2-Bocas del Toro'!I$6,DATOS!$B:$B,"B100101_01",DATOS!$G:$G,"0311",DATOS!$C:$C,"00")</f>
        <v>0.94160471126088996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Toro'!C$6,DATOS!$B:$B,"B100101_01",DATOS!$G:$G,"0311",DATOS!$C:$C,"00")</f>
        <v>9.3852146871353685</v>
      </c>
      <c r="D21" s="196">
        <f>SUMIFS(DATOS!$F:$F,DATOS!$D:$D,$A21,DATOS!$A:$A,'Cuadro 2-Bocas del Toro'!D$6,DATOS!$B:$B,"B100101_01",DATOS!$G:$G,"0311",DATOS!$C:$C,"00")</f>
        <v>9.0651713239269363</v>
      </c>
      <c r="E21" s="196">
        <f>SUMIFS(DATOS!$F:$F,DATOS!$D:$D,$A21,DATOS!$A:$A,'Cuadro 2-Bocas del Toro'!E$6,DATOS!$B:$B,"B100101_01",DATOS!$G:$G,"0311",DATOS!$C:$C,"00")</f>
        <v>7.284162095897706</v>
      </c>
      <c r="F21" s="196">
        <f>SUMIFS(DATOS!$F:$F,DATOS!$D:$D,$A21,DATOS!$A:$A,'Cuadro 2-Bocas del Toro'!F$6,DATOS!$B:$B,"B100101_01",DATOS!$G:$G,"0311",DATOS!$C:$C,"00")</f>
        <v>6.4283853118169398</v>
      </c>
      <c r="G21" s="196">
        <f>SUMIFS(DATOS!$F:$F,DATOS!$D:$D,$A21,DATOS!$A:$A,'Cuadro 2-Bocas del Toro'!G$6,DATOS!$B:$B,"B100101_01",DATOS!$G:$G,"0311",DATOS!$C:$C,"00")</f>
        <v>8.2217964661010452</v>
      </c>
      <c r="H21" s="197">
        <f>SUMIFS(DATOS!$F:$F,DATOS!$D:$D,$A21,DATOS!$A:$A,'Cuadro 2-Bocas del Toro'!H$6,DATOS!$B:$B,"B100101_01",DATOS!$G:$G,"0311",DATOS!$C:$C,"00")</f>
        <v>10.215430197180531</v>
      </c>
      <c r="I21" s="198">
        <f>SUMIFS(DATOS!$F:$F,DATOS!$D:$D,$A21,DATOS!$A:$A,'Cuadro 2-Bocas del Toro'!I$6,DATOS!$B:$B,"B100101_01",DATOS!$G:$G,"0311",DATOS!$C:$C,"00")</f>
        <v>11.155466911317298</v>
      </c>
    </row>
    <row r="22" spans="1:16" ht="32.25" customHeight="1">
      <c r="A22" s="25"/>
      <c r="B22" s="22" t="s">
        <v>93</v>
      </c>
      <c r="C22" s="196">
        <f>SUMIFS(DATOS!$F:$F,DATOS!$D:$D,"GOB",DATOS!$A:$A,'Cuadro 2-Bocas del Toro'!C$6,DATOS!$B:$B,"B100103_01",DATOS!$G:$G,"0311",DATOS!$C:$C,"00")</f>
        <v>203.02736421489206</v>
      </c>
      <c r="D22" s="196">
        <f>SUMIFS(DATOS!$F:$F,DATOS!$D:$D,"GOB",DATOS!$A:$A,'Cuadro 2-Bocas del Toro'!D$6,DATOS!$B:$B,"B100103_01",DATOS!$G:$G,"0311",DATOS!$C:$C,"00")</f>
        <v>215.54629363040058</v>
      </c>
      <c r="E22" s="196">
        <f>SUMIFS(DATOS!$F:$F,DATOS!$D:$D,"GOB",DATOS!$A:$A,'Cuadro 2-Bocas del Toro'!E$6,DATOS!$B:$B,"B100103_01",DATOS!$G:$G,"0311",DATOS!$C:$C,"00")</f>
        <v>252.98695885545726</v>
      </c>
      <c r="F22" s="196">
        <f>SUMIFS(DATOS!$F:$F,DATOS!$D:$D,"GOB",DATOS!$A:$A,'Cuadro 2-Bocas del Toro'!F$6,DATOS!$B:$B,"B100103_01",DATOS!$G:$G,"0311",DATOS!$C:$C,"00")</f>
        <v>282.56268231809702</v>
      </c>
      <c r="G22" s="196">
        <f>SUMIFS(DATOS!$F:$F,DATOS!$D:$D,"GOB",DATOS!$A:$A,'Cuadro 2-Bocas del Toro'!G$6,DATOS!$B:$B,"B100103_01",DATOS!$G:$G,"0311",DATOS!$C:$C,"00")</f>
        <v>275.93080411648606</v>
      </c>
      <c r="H22" s="197">
        <f>SUMIFS(DATOS!$F:$F,DATOS!$D:$D,"GOB",DATOS!$A:$A,'Cuadro 2-Bocas del Toro'!H$6,DATOS!$B:$B,"B100103_01",DATOS!$G:$G,"0311",DATOS!$C:$C,"00")</f>
        <v>305.76332712887631</v>
      </c>
      <c r="I22" s="198">
        <f>SUMIFS(DATOS!$F:$F,DATOS!$D:$D,"GOB",DATOS!$A:$A,'Cuadro 2-Bocas del Toro'!I$6,DATOS!$B:$B,"B100103_01",DATOS!$G:$G,"0311",DATOS!$C:$C,"00")</f>
        <v>308.58884753304255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Toro'!C$6,DATOS!$B:$B,"VAB_01",DATOS!$G:$G,"0311",DATOS!$C:$C,"00")</f>
        <v>831.43955295263549</v>
      </c>
      <c r="D23" s="199">
        <f>SUMIFS(DATOS!$F:$F,DATOS!$D:$D,"VAB",DATOS!$A:$A,'Cuadro 2-Bocas del Toro'!D$6,DATOS!$B:$B,"VAB_01",DATOS!$G:$G,"0311",DATOS!$C:$C,"00")</f>
        <v>842.22500946363073</v>
      </c>
      <c r="E23" s="199">
        <f>SUMIFS(DATOS!$F:$F,DATOS!$D:$D,"VAB",DATOS!$A:$A,'Cuadro 2-Bocas del Toro'!E$6,DATOS!$B:$B,"VAB_01",DATOS!$G:$G,"0311",DATOS!$C:$C,"00")</f>
        <v>915.26333130211844</v>
      </c>
      <c r="F23" s="199">
        <f>SUMIFS(DATOS!$F:$F,DATOS!$D:$D,"VAB",DATOS!$A:$A,'Cuadro 2-Bocas del Toro'!F$6,DATOS!$B:$B,"VAB_01",DATOS!$G:$G,"0311",DATOS!$C:$C,"00")</f>
        <v>1044.2253742652813</v>
      </c>
      <c r="G23" s="199">
        <f>SUMIFS(DATOS!$F:$F,DATOS!$D:$D,"VAB",DATOS!$A:$A,'Cuadro 2-Bocas del Toro'!G$6,DATOS!$B:$B,"VAB_01",DATOS!$G:$G,"0311",DATOS!$C:$C,"00")</f>
        <v>1058.4630240620413</v>
      </c>
      <c r="H23" s="200">
        <f>SUMIFS(DATOS!$F:$F,DATOS!$D:$D,"VAB",DATOS!$A:$A,'Cuadro 2-Bocas del Toro'!H$6,DATOS!$B:$B,"VAB_01",DATOS!$G:$G,"0311",DATOS!$C:$C,"00")</f>
        <v>1083.8998810955923</v>
      </c>
      <c r="I23" s="201">
        <f>SUMIFS(DATOS!$F:$F,DATOS!$D:$D,"VAB",DATOS!$A:$A,'Cuadro 2-Bocas del Toro'!I$6,DATOS!$B:$B,"VAB_01",DATOS!$G:$G,"0311",DATOS!$C:$C,"00")</f>
        <v>1150.8328891222145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Toro'!C$6,DATOS!$B:$B,"IMP_01",DATOS!$G:$G,"0311",DATOS!$C:$C,"00")</f>
        <v>36.656101996321922</v>
      </c>
      <c r="D24" s="196">
        <f>SUMIFS(DATOS!$F:$F,DATOS!$D:$D,"IMP",DATOS!$A:$A,'Cuadro 2-Bocas del Toro'!D$6,DATOS!$B:$B,"IMP_01",DATOS!$G:$G,"0311",DATOS!$C:$C,"00")</f>
        <v>36.43817465002418</v>
      </c>
      <c r="E24" s="196">
        <f>SUMIFS(DATOS!$F:$F,DATOS!$D:$D,"IMP",DATOS!$A:$A,'Cuadro 2-Bocas del Toro'!E$6,DATOS!$B:$B,"IMP_01",DATOS!$G:$G,"0311",DATOS!$C:$C,"00")</f>
        <v>25.613215488877469</v>
      </c>
      <c r="F24" s="196">
        <f>SUMIFS(DATOS!$F:$F,DATOS!$D:$D,"IMP",DATOS!$A:$A,'Cuadro 2-Bocas del Toro'!F$6,DATOS!$B:$B,"IMP_01",DATOS!$G:$G,"0311",DATOS!$C:$C,"00")</f>
        <v>31.221610843606879</v>
      </c>
      <c r="G24" s="196">
        <f>SUMIFS(DATOS!$F:$F,DATOS!$D:$D,"IMP",DATOS!$A:$A,'Cuadro 2-Bocas del Toro'!G$6,DATOS!$B:$B,"IMP_01",DATOS!$G:$G,"0311",DATOS!$C:$C,"00")</f>
        <v>35.645649274696126</v>
      </c>
      <c r="H24" s="197">
        <f>SUMIFS(DATOS!$F:$F,DATOS!$D:$D,"IMP",DATOS!$A:$A,'Cuadro 2-Bocas del Toro'!H$6,DATOS!$B:$B,"IMP_01",DATOS!$G:$G,"0311",DATOS!$C:$C,"00")</f>
        <v>37.74077975712401</v>
      </c>
      <c r="I24" s="198">
        <f>SUMIFS(DATOS!$F:$F,DATOS!$D:$D,"IMP",DATOS!$A:$A,'Cuadro 2-Bocas del Toro'!I$6,DATOS!$B:$B,"IMP_01",DATOS!$G:$G,"0311",DATOS!$C:$C,"00")</f>
        <v>39.730931259930955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Toro'!C$6,DATOS!$B:$B,"PIB_01",DATOS!$G:$G,"0311",DATOS!$C:$C,"00")</f>
        <v>868.09565494895742</v>
      </c>
      <c r="D25" s="199">
        <f>SUMIFS(DATOS!$F:$F,DATOS!$D:$D,"PIB",DATOS!$A:$A,'Cuadro 2-Bocas del Toro'!D$6,DATOS!$B:$B,"PIB_01",DATOS!$G:$G,"0311",DATOS!$C:$C,"00")</f>
        <v>878.66318411365489</v>
      </c>
      <c r="E25" s="199">
        <f>SUMIFS(DATOS!$F:$F,DATOS!$D:$D,"PIB",DATOS!$A:$A,'Cuadro 2-Bocas del Toro'!E$6,DATOS!$B:$B,"PIB_01",DATOS!$G:$G,"0311",DATOS!$C:$C,"00")</f>
        <v>940.66127092922409</v>
      </c>
      <c r="F25" s="199">
        <f>SUMIFS(DATOS!$F:$F,DATOS!$D:$D,"PIB",DATOS!$A:$A,'Cuadro 2-Bocas del Toro'!F$6,DATOS!$B:$B,"PIB_01",DATOS!$G:$G,"0311",DATOS!$C:$C,"00")</f>
        <v>1075.2605298875483</v>
      </c>
      <c r="G25" s="199">
        <f>SUMIFS(DATOS!$F:$F,DATOS!$D:$D,"PIB",DATOS!$A:$A,'Cuadro 2-Bocas del Toro'!G$6,DATOS!$B:$B,"PIB_01",DATOS!$G:$G,"0311",DATOS!$C:$C,"00")</f>
        <v>1094.1511883352066</v>
      </c>
      <c r="H25" s="200">
        <f>SUMIFS(DATOS!$F:$F,DATOS!$D:$D,"PIB",DATOS!$A:$A,'Cuadro 2-Bocas del Toro'!H$6,DATOS!$B:$B,"PIB_01",DATOS!$G:$G,"0311",DATOS!$C:$C,"00")</f>
        <v>1121.75404834602</v>
      </c>
      <c r="I25" s="201">
        <f>SUMIFS(DATOS!$F:$F,DATOS!$D:$D,"PIB",DATOS!$A:$A,'Cuadro 2-Bocas del Toro'!I$6,DATOS!$B:$B,"PIB_01",DATOS!$G:$G,"0311",DATOS!$C:$C,"00")</f>
        <v>1190.6921627469167</v>
      </c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0.45" customHeight="1" thickBot="1">
      <c r="A27" s="192" t="s">
        <v>194</v>
      </c>
      <c r="B27" s="192"/>
      <c r="C27" s="192"/>
      <c r="D27" s="192"/>
      <c r="E27" s="192"/>
      <c r="F27" s="192"/>
      <c r="G27" s="192"/>
      <c r="H27" s="192"/>
      <c r="I27" s="192"/>
      <c r="J27" s="90"/>
      <c r="K27" s="75"/>
    </row>
    <row r="28" spans="1:16" ht="32.1" customHeight="1" thickTop="1">
      <c r="A28" s="217" t="s">
        <v>29</v>
      </c>
      <c r="B28" s="217" t="s">
        <v>30</v>
      </c>
      <c r="C28" s="217" t="s">
        <v>339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12.595150030410066</v>
      </c>
      <c r="D30" s="19">
        <f t="shared" ref="D30:I30" si="0">IFERROR(D7/D$25*100,"")</f>
        <v>19.742264883343317</v>
      </c>
      <c r="E30" s="19">
        <f t="shared" si="0"/>
        <v>19.608874414583902</v>
      </c>
      <c r="F30" s="19">
        <f t="shared" si="0"/>
        <v>14.926925929491041</v>
      </c>
      <c r="G30" s="19">
        <f t="shared" si="0"/>
        <v>13.170747362611323</v>
      </c>
      <c r="H30" s="19">
        <f t="shared" si="0"/>
        <v>14.361537315221806</v>
      </c>
      <c r="I30" s="143">
        <f t="shared" si="0"/>
        <v>13.376005091637905</v>
      </c>
      <c r="J30" s="50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31" si="1">IFERROR(C8/C$25*100,"")</f>
        <v>0.36449695136399318</v>
      </c>
      <c r="D31" s="19">
        <f t="shared" si="1"/>
        <v>0.95982356352953235</v>
      </c>
      <c r="E31" s="19">
        <f t="shared" si="1"/>
        <v>0.30242214748327895</v>
      </c>
      <c r="F31" s="19">
        <f t="shared" si="1"/>
        <v>0.57305197129082475</v>
      </c>
      <c r="G31" s="19">
        <f t="shared" si="1"/>
        <v>0.58265265206605688</v>
      </c>
      <c r="H31" s="19">
        <f t="shared" si="1"/>
        <v>0.54836307266123452</v>
      </c>
      <c r="I31" s="106">
        <f t="shared" si="1"/>
        <v>0.89825963534155751</v>
      </c>
      <c r="J31" s="50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ref="C32:I32" si="2">IFERROR(C9/C$25*100,"")</f>
        <v>5.6178210451851576E-2</v>
      </c>
      <c r="D32" s="19">
        <f t="shared" si="2"/>
        <v>5.4672821619975463E-2</v>
      </c>
      <c r="E32" s="19">
        <f t="shared" si="2"/>
        <v>4.4635925478802921E-2</v>
      </c>
      <c r="F32" s="19">
        <f t="shared" si="2"/>
        <v>5.6201403684133185E-2</v>
      </c>
      <c r="G32" s="19">
        <f t="shared" si="2"/>
        <v>6.3508645138875594E-2</v>
      </c>
      <c r="H32" s="19">
        <f t="shared" si="2"/>
        <v>5.4949375980426166E-2</v>
      </c>
      <c r="I32" s="106">
        <f t="shared" si="2"/>
        <v>6.498220212541389E-2</v>
      </c>
      <c r="J32" s="50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ref="C33:I33" si="3">IFERROR(C10/C$25*100,"")</f>
        <v>23.956939450967788</v>
      </c>
      <c r="D33" s="19">
        <f t="shared" si="3"/>
        <v>5.3536925267796427</v>
      </c>
      <c r="E33" s="19">
        <f t="shared" si="3"/>
        <v>19.48063827354526</v>
      </c>
      <c r="F33" s="19">
        <f t="shared" si="3"/>
        <v>23.094967898197627</v>
      </c>
      <c r="G33" s="19">
        <f t="shared" si="3"/>
        <v>21.949654854011893</v>
      </c>
      <c r="H33" s="19">
        <f t="shared" si="3"/>
        <v>17.399303182611508</v>
      </c>
      <c r="I33" s="106">
        <f t="shared" si="3"/>
        <v>17.801059202017139</v>
      </c>
      <c r="J33" s="50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94</v>
      </c>
      <c r="C34" s="19">
        <f t="shared" ref="C34:I34" si="4">IFERROR(C11/C$25*100,"")</f>
        <v>5.0260246301504825</v>
      </c>
      <c r="D34" s="19">
        <f t="shared" si="4"/>
        <v>12.158745159937192</v>
      </c>
      <c r="E34" s="19">
        <f t="shared" si="4"/>
        <v>3.8780237623467704</v>
      </c>
      <c r="F34" s="19">
        <f t="shared" si="4"/>
        <v>6.926744572080934</v>
      </c>
      <c r="G34" s="19">
        <f t="shared" si="4"/>
        <v>6.6282466010028154</v>
      </c>
      <c r="H34" s="19">
        <f t="shared" si="4"/>
        <v>6.2580914708116984</v>
      </c>
      <c r="I34" s="106">
        <f t="shared" si="4"/>
        <v>7.0914499672833653</v>
      </c>
      <c r="J34" s="50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ref="C35:I35" si="5">IFERROR(C12/C$25*100,"")</f>
        <v>1.6670994996840462</v>
      </c>
      <c r="D35" s="19">
        <f t="shared" si="5"/>
        <v>2.1658393297019298</v>
      </c>
      <c r="E35" s="19">
        <f t="shared" si="5"/>
        <v>1.8104092218246846</v>
      </c>
      <c r="F35" s="19">
        <f t="shared" si="5"/>
        <v>1.7521777882499669</v>
      </c>
      <c r="G35" s="19">
        <f t="shared" si="5"/>
        <v>1.9213298148587548</v>
      </c>
      <c r="H35" s="19">
        <f t="shared" si="5"/>
        <v>1.9890853215857887</v>
      </c>
      <c r="I35" s="106">
        <f t="shared" si="5"/>
        <v>2.1025549891586506</v>
      </c>
      <c r="J35" s="50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ref="C36:I36" si="6">IFERROR(C13/C$25*100,"")</f>
        <v>7.7905749899589134</v>
      </c>
      <c r="D36" s="19">
        <f t="shared" si="6"/>
        <v>8.1003901416686031</v>
      </c>
      <c r="E36" s="19">
        <f t="shared" si="6"/>
        <v>6.9125850355567344</v>
      </c>
      <c r="F36" s="19">
        <f t="shared" si="6"/>
        <v>6.4684011737399461</v>
      </c>
      <c r="G36" s="19">
        <f t="shared" si="6"/>
        <v>6.8008809739540235</v>
      </c>
      <c r="H36" s="19">
        <f t="shared" si="6"/>
        <v>7.0570353273968349</v>
      </c>
      <c r="I36" s="106">
        <f t="shared" si="6"/>
        <v>7.6875560126568905</v>
      </c>
      <c r="J36" s="50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ref="C37:I37" si="7">IFERROR(C14/C$25*100,"")</f>
        <v>1.3848212611529362</v>
      </c>
      <c r="D37" s="19">
        <f t="shared" si="7"/>
        <v>1.2881810224886308</v>
      </c>
      <c r="E37" s="19">
        <f t="shared" si="7"/>
        <v>0.43518976775328461</v>
      </c>
      <c r="F37" s="19">
        <f t="shared" si="7"/>
        <v>0.42672106334957666</v>
      </c>
      <c r="G37" s="19">
        <f t="shared" si="7"/>
        <v>0.55669245234886355</v>
      </c>
      <c r="H37" s="19">
        <f t="shared" si="7"/>
        <v>0.60604756490986411</v>
      </c>
      <c r="I37" s="106">
        <f t="shared" si="7"/>
        <v>0.62235880079455452</v>
      </c>
      <c r="J37" s="50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ref="C38:I38" si="8">IFERROR(C15/C$25*100,"")</f>
        <v>7.5120718415347181</v>
      </c>
      <c r="D38" s="19">
        <f t="shared" si="8"/>
        <v>7.5369709382529111</v>
      </c>
      <c r="E38" s="19">
        <f t="shared" si="8"/>
        <v>7.0922348662892292</v>
      </c>
      <c r="F38" s="19">
        <f t="shared" si="8"/>
        <v>6.807800742261005</v>
      </c>
      <c r="G38" s="19">
        <f t="shared" si="8"/>
        <v>6.7105827646158467</v>
      </c>
      <c r="H38" s="19">
        <f t="shared" si="8"/>
        <v>7.1233159781224495</v>
      </c>
      <c r="I38" s="106">
        <f t="shared" si="8"/>
        <v>7.2272228324041761</v>
      </c>
      <c r="J38" s="50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ref="C39:I39" si="9">IFERROR(C16/C$25*100,"")</f>
        <v>1.6505082779691618</v>
      </c>
      <c r="D39" s="19">
        <f t="shared" si="9"/>
        <v>1.7211194589744669</v>
      </c>
      <c r="E39" s="19">
        <f t="shared" si="9"/>
        <v>1.5479989195653701</v>
      </c>
      <c r="F39" s="19">
        <f t="shared" si="9"/>
        <v>1.5170585056386694</v>
      </c>
      <c r="G39" s="19">
        <f t="shared" si="9"/>
        <v>1.6440295054676795</v>
      </c>
      <c r="H39" s="19">
        <f t="shared" si="9"/>
        <v>1.565329186064806</v>
      </c>
      <c r="I39" s="106">
        <f t="shared" si="9"/>
        <v>1.5524429155206294</v>
      </c>
      <c r="J39" s="50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95</v>
      </c>
      <c r="C40" s="19">
        <f t="shared" ref="C40:I40" si="10">IFERROR(C17/C$25*100,"")</f>
        <v>9.0607894811844218</v>
      </c>
      <c r="D40" s="19">
        <f t="shared" si="10"/>
        <v>10.933106237971479</v>
      </c>
      <c r="E40" s="19">
        <f t="shared" si="10"/>
        <v>8.9820745929115873</v>
      </c>
      <c r="F40" s="19">
        <f t="shared" si="10"/>
        <v>6.9411282055822188</v>
      </c>
      <c r="G40" s="19">
        <f t="shared" si="10"/>
        <v>9.6967914245890867</v>
      </c>
      <c r="H40" s="19">
        <f t="shared" si="10"/>
        <v>10.506062563176322</v>
      </c>
      <c r="I40" s="106">
        <f t="shared" si="10"/>
        <v>10.120602940321371</v>
      </c>
      <c r="J40" s="50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ref="C41:I41" si="11">IFERROR(C18/C$25*100,"")</f>
        <v>6.5139575884303635E-2</v>
      </c>
      <c r="D41" s="19">
        <f t="shared" si="11"/>
        <v>0.10985989288194553</v>
      </c>
      <c r="E41" s="19">
        <f t="shared" si="11"/>
        <v>4.9984604214184748E-2</v>
      </c>
      <c r="F41" s="19">
        <f t="shared" si="11"/>
        <v>5.4856601952633782E-2</v>
      </c>
      <c r="G41" s="19">
        <f t="shared" si="11"/>
        <v>6.910836876909407E-2</v>
      </c>
      <c r="H41" s="19">
        <f t="shared" si="11"/>
        <v>7.4052471210760529E-2</v>
      </c>
      <c r="I41" s="106">
        <f t="shared" si="11"/>
        <v>6.6740718386285897E-2</v>
      </c>
      <c r="J41" s="50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ref="C42:I42" si="12">IFERROR(C19/C$25*100,"")</f>
        <v>3.8439229536103778E-3</v>
      </c>
      <c r="D42" s="19">
        <f t="shared" si="12"/>
        <v>6.0065669561776879E-3</v>
      </c>
      <c r="E42" s="19">
        <f t="shared" si="12"/>
        <v>5.8391622547571244E-3</v>
      </c>
      <c r="F42" s="19">
        <f t="shared" si="12"/>
        <v>4.8191561310130335E-3</v>
      </c>
      <c r="G42" s="19">
        <f t="shared" si="12"/>
        <v>5.8410310714888201E-3</v>
      </c>
      <c r="H42" s="19">
        <f t="shared" si="12"/>
        <v>5.9859385275586215E-3</v>
      </c>
      <c r="I42" s="106">
        <f t="shared" si="12"/>
        <v>5.9522350153050196E-3</v>
      </c>
      <c r="J42" s="50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ref="C43:I43" si="13">IFERROR(C20/C$25*100,"")</f>
        <v>0.17497522113911929</v>
      </c>
      <c r="D43" s="19">
        <f t="shared" si="13"/>
        <v>0.15946316157036622</v>
      </c>
      <c r="E43" s="19">
        <f t="shared" si="13"/>
        <v>9.7174888171736654E-2</v>
      </c>
      <c r="F43" s="19">
        <f t="shared" si="13"/>
        <v>7.9565540157096451E-2</v>
      </c>
      <c r="G43" s="19">
        <f t="shared" si="13"/>
        <v>7.938462148129638E-2</v>
      </c>
      <c r="H43" s="19">
        <f t="shared" si="13"/>
        <v>8.0393849920444238E-2</v>
      </c>
      <c r="I43" s="106">
        <f t="shared" si="13"/>
        <v>7.9080449231194727E-2</v>
      </c>
      <c r="J43" s="50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ref="C44:I44" si="14">IFERROR(C21/C$25*100,"")</f>
        <v>1.0811267898452048</v>
      </c>
      <c r="D44" s="132">
        <f t="shared" si="14"/>
        <v>1.0317003702700211</v>
      </c>
      <c r="E44" s="132">
        <f t="shared" si="14"/>
        <v>0.77436611041742043</v>
      </c>
      <c r="F44" s="132">
        <f t="shared" si="14"/>
        <v>0.59784444170839479</v>
      </c>
      <c r="G44" s="132">
        <f t="shared" si="14"/>
        <v>0.75143147983148717</v>
      </c>
      <c r="H44" s="132">
        <f t="shared" si="14"/>
        <v>0.91066577493014267</v>
      </c>
      <c r="I44" s="117">
        <f t="shared" si="14"/>
        <v>0.93688925318713201</v>
      </c>
      <c r="J44" s="50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93</v>
      </c>
      <c r="C45" s="132">
        <f t="shared" ref="C45:I45" si="15">IFERROR(C22/C$25*100,"")</f>
        <v>23.38767197571444</v>
      </c>
      <c r="D45" s="132">
        <f t="shared" si="15"/>
        <v>24.53116251226929</v>
      </c>
      <c r="E45" s="132">
        <f t="shared" si="15"/>
        <v>26.894586465279502</v>
      </c>
      <c r="F45" s="132">
        <f t="shared" si="15"/>
        <v>26.278531989605131</v>
      </c>
      <c r="G45" s="132">
        <f t="shared" si="15"/>
        <v>25.218708991791662</v>
      </c>
      <c r="H45" s="132">
        <f t="shared" si="15"/>
        <v>27.257608526549266</v>
      </c>
      <c r="I45" s="117">
        <f t="shared" si="15"/>
        <v>25.91676145924491</v>
      </c>
      <c r="J45" s="50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ref="C46:I46" si="16">IFERROR(C23/C$25*100,"")</f>
        <v>95.777412110365049</v>
      </c>
      <c r="D46" s="144">
        <f t="shared" si="16"/>
        <v>95.85299858821547</v>
      </c>
      <c r="E46" s="144">
        <f t="shared" si="16"/>
        <v>97.299990930633669</v>
      </c>
      <c r="F46" s="144">
        <f t="shared" si="16"/>
        <v>97.113708281888421</v>
      </c>
      <c r="G46" s="144">
        <f t="shared" si="16"/>
        <v>96.738278525523853</v>
      </c>
      <c r="H46" s="144">
        <f t="shared" si="16"/>
        <v>96.625448572595559</v>
      </c>
      <c r="I46" s="129">
        <f t="shared" si="16"/>
        <v>96.652428320956858</v>
      </c>
      <c r="J46" s="93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7" si="17">IFERROR(C24/C$25*100,"")</f>
        <v>4.2225878896349549</v>
      </c>
      <c r="D47" s="132">
        <f t="shared" si="17"/>
        <v>4.1470014117845313</v>
      </c>
      <c r="E47" s="132">
        <f t="shared" si="17"/>
        <v>2.7228946572420991</v>
      </c>
      <c r="F47" s="132">
        <f t="shared" si="17"/>
        <v>2.9036321873427329</v>
      </c>
      <c r="G47" s="132">
        <f t="shared" si="17"/>
        <v>3.2578358141649839</v>
      </c>
      <c r="H47" s="132">
        <f t="shared" si="17"/>
        <v>3.3644433744430193</v>
      </c>
      <c r="I47" s="117">
        <f t="shared" si="17"/>
        <v>3.3367928758573528</v>
      </c>
      <c r="J47" s="50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ref="C48:I48" si="18">IFERROR(C25/C$25*100,"")</f>
        <v>100</v>
      </c>
      <c r="D48" s="144">
        <f t="shared" si="18"/>
        <v>100</v>
      </c>
      <c r="E48" s="144">
        <f t="shared" si="18"/>
        <v>100</v>
      </c>
      <c r="F48" s="144">
        <f t="shared" si="18"/>
        <v>100</v>
      </c>
      <c r="G48" s="144">
        <f t="shared" si="18"/>
        <v>100</v>
      </c>
      <c r="H48" s="144">
        <f t="shared" si="18"/>
        <v>100</v>
      </c>
      <c r="I48" s="129">
        <f t="shared" si="18"/>
        <v>100</v>
      </c>
      <c r="K48" s="50"/>
    </row>
    <row r="49" spans="1:11">
      <c r="A49" s="7"/>
      <c r="B49" s="32"/>
      <c r="C49" s="15"/>
      <c r="D49" s="15"/>
      <c r="E49" s="15"/>
      <c r="F49" s="15"/>
      <c r="G49" s="15"/>
    </row>
    <row r="50" spans="1:11" s="74" customFormat="1" ht="20.45" customHeight="1" thickBot="1">
      <c r="A50" s="190" t="s">
        <v>195</v>
      </c>
      <c r="B50" s="190"/>
      <c r="C50" s="190"/>
      <c r="D50" s="190"/>
      <c r="E50" s="190"/>
      <c r="F50" s="190"/>
      <c r="G50" s="190"/>
      <c r="H50" s="190"/>
      <c r="I50" s="190"/>
      <c r="J50" s="130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58.653068769687394</v>
      </c>
      <c r="E53" s="20">
        <f t="shared" ref="E53:I53" si="19">IFERROR(E7/D7*100-100,"")</f>
        <v>6.3326222730164972</v>
      </c>
      <c r="F53" s="20">
        <f t="shared" si="19"/>
        <v>-12.984192777977015</v>
      </c>
      <c r="G53" s="20">
        <f t="shared" si="19"/>
        <v>-10.215023421987738</v>
      </c>
      <c r="H53" s="19">
        <f t="shared" si="19"/>
        <v>11.792024434867869</v>
      </c>
      <c r="I53" s="143">
        <f t="shared" si="19"/>
        <v>-1.1384662331607558</v>
      </c>
    </row>
    <row r="54" spans="1:11" ht="32.25" customHeight="1">
      <c r="A54" s="56" t="s">
        <v>1</v>
      </c>
      <c r="B54" s="57" t="s">
        <v>31</v>
      </c>
      <c r="D54" s="20">
        <f t="shared" ref="D54:I71" si="20">IFERROR(D8/C8*100-100,"")</f>
        <v>166.53383906312553</v>
      </c>
      <c r="E54" s="20">
        <f t="shared" si="20"/>
        <v>-66.268704670782142</v>
      </c>
      <c r="F54" s="20">
        <f>IFERROR(F8/E8*100-100,"")</f>
        <v>116.6012001044264</v>
      </c>
      <c r="G54" s="20">
        <f t="shared" si="20"/>
        <v>3.4616377656922594</v>
      </c>
      <c r="H54" s="19">
        <f t="shared" si="20"/>
        <v>-3.5107828435766777</v>
      </c>
      <c r="I54" s="106">
        <f t="shared" si="20"/>
        <v>73.874355295533206</v>
      </c>
    </row>
    <row r="55" spans="1:11" ht="32.25" customHeight="1">
      <c r="A55" s="56" t="s">
        <v>2</v>
      </c>
      <c r="B55" s="57" t="s">
        <v>3</v>
      </c>
      <c r="D55" s="20">
        <f t="shared" si="20"/>
        <v>-1.4949638370974441</v>
      </c>
      <c r="E55" s="20">
        <f t="shared" si="20"/>
        <v>-12.597493083360945</v>
      </c>
      <c r="F55" s="20">
        <f t="shared" si="20"/>
        <v>43.927260610554754</v>
      </c>
      <c r="G55" s="20">
        <f t="shared" si="20"/>
        <v>14.987151951771452</v>
      </c>
      <c r="H55" s="19">
        <f t="shared" si="20"/>
        <v>-11.294565770221794</v>
      </c>
      <c r="I55" s="106">
        <f t="shared" si="20"/>
        <v>25.525947835088374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20"/>
        <v>-77.380815796186454</v>
      </c>
      <c r="E56" s="20">
        <f t="shared" si="20"/>
        <v>289.54765174916315</v>
      </c>
      <c r="F56" s="20">
        <f t="shared" si="20"/>
        <v>35.517262882664426</v>
      </c>
      <c r="G56" s="20">
        <f t="shared" si="20"/>
        <v>-3.2894251374712979</v>
      </c>
      <c r="H56" s="19">
        <f t="shared" si="20"/>
        <v>-18.731083558923316</v>
      </c>
      <c r="I56" s="106">
        <f t="shared" si="20"/>
        <v>8.596502471691835</v>
      </c>
    </row>
    <row r="57" spans="1:11" ht="32.25" customHeight="1">
      <c r="A57" s="56" t="s">
        <v>4</v>
      </c>
      <c r="B57" s="57" t="s">
        <v>94</v>
      </c>
      <c r="D57" s="20">
        <f t="shared" si="20"/>
        <v>144.8606459823275</v>
      </c>
      <c r="E57" s="20">
        <f t="shared" si="20"/>
        <v>-65.85457335972913</v>
      </c>
      <c r="F57" s="20">
        <f t="shared" si="20"/>
        <v>104.17339386615075</v>
      </c>
      <c r="G57" s="20">
        <f t="shared" si="20"/>
        <v>-2.6282182782103973</v>
      </c>
      <c r="H57" s="19">
        <f t="shared" si="20"/>
        <v>-3.2026298969810085</v>
      </c>
      <c r="I57" s="106">
        <f t="shared" si="20"/>
        <v>20.280433863010572</v>
      </c>
    </row>
    <row r="58" spans="1:11" ht="32.25" customHeight="1">
      <c r="A58" s="56" t="s">
        <v>5</v>
      </c>
      <c r="B58" s="57" t="s">
        <v>54</v>
      </c>
      <c r="D58" s="20">
        <f t="shared" si="20"/>
        <v>31.498125525973023</v>
      </c>
      <c r="E58" s="20">
        <f t="shared" si="20"/>
        <v>-10.512711094549985</v>
      </c>
      <c r="F58" s="20">
        <f t="shared" si="20"/>
        <v>10.632278826886107</v>
      </c>
      <c r="G58" s="20">
        <f t="shared" si="20"/>
        <v>11.580263741010782</v>
      </c>
      <c r="H58" s="19">
        <f t="shared" si="20"/>
        <v>6.1382199080225206</v>
      </c>
      <c r="I58" s="106">
        <f t="shared" si="20"/>
        <v>12.200760325712594</v>
      </c>
    </row>
    <row r="59" spans="1:11" ht="32.25" customHeight="1">
      <c r="A59" s="56" t="s">
        <v>6</v>
      </c>
      <c r="B59" s="57" t="s">
        <v>55</v>
      </c>
      <c r="D59" s="20">
        <f t="shared" si="20"/>
        <v>5.242527987190627</v>
      </c>
      <c r="E59" s="20">
        <f t="shared" si="20"/>
        <v>-8.6422523104996714</v>
      </c>
      <c r="F59" s="20">
        <f t="shared" si="20"/>
        <v>6.9638191632602968</v>
      </c>
      <c r="G59" s="20">
        <f t="shared" si="20"/>
        <v>6.9872092065258187</v>
      </c>
      <c r="H59" s="19">
        <f t="shared" si="20"/>
        <v>6.3842721500788144</v>
      </c>
      <c r="I59" s="106">
        <f t="shared" si="20"/>
        <v>15.629287919548403</v>
      </c>
    </row>
    <row r="60" spans="1:11" ht="32.25" customHeight="1">
      <c r="A60" s="56" t="s">
        <v>7</v>
      </c>
      <c r="B60" s="57" t="s">
        <v>32</v>
      </c>
      <c r="D60" s="20">
        <f t="shared" si="20"/>
        <v>-5.8461633600007588</v>
      </c>
      <c r="E60" s="20">
        <f t="shared" si="20"/>
        <v>-63.832989484309628</v>
      </c>
      <c r="F60" s="20">
        <f t="shared" si="20"/>
        <v>12.084574029664765</v>
      </c>
      <c r="G60" s="20">
        <f t="shared" si="20"/>
        <v>32.750108506419309</v>
      </c>
      <c r="H60" s="19">
        <f t="shared" si="20"/>
        <v>11.612204612804831</v>
      </c>
      <c r="I60" s="106">
        <f t="shared" si="20"/>
        <v>9.0023784028631724</v>
      </c>
    </row>
    <row r="61" spans="1:11" ht="32.25" customHeight="1">
      <c r="A61" s="56" t="s">
        <v>8</v>
      </c>
      <c r="B61" s="57" t="s">
        <v>56</v>
      </c>
      <c r="D61" s="20">
        <f t="shared" si="20"/>
        <v>1.5528124520179887</v>
      </c>
      <c r="E61" s="20">
        <f t="shared" si="20"/>
        <v>0.73887631071740145</v>
      </c>
      <c r="F61" s="20">
        <f t="shared" si="20"/>
        <v>9.7246406814889923</v>
      </c>
      <c r="G61" s="20">
        <f t="shared" si="20"/>
        <v>0.30371842356396428</v>
      </c>
      <c r="H61" s="19">
        <f t="shared" si="20"/>
        <v>8.8284093302789017</v>
      </c>
      <c r="I61" s="106">
        <f t="shared" si="20"/>
        <v>7.6938952281852266</v>
      </c>
    </row>
    <row r="62" spans="1:11" ht="32.25" customHeight="1">
      <c r="A62" s="56" t="s">
        <v>9</v>
      </c>
      <c r="B62" s="57" t="s">
        <v>57</v>
      </c>
      <c r="D62" s="20">
        <f t="shared" si="20"/>
        <v>5.5475496506163182</v>
      </c>
      <c r="E62" s="20">
        <f t="shared" si="20"/>
        <v>-3.7123755656416506</v>
      </c>
      <c r="F62" s="20">
        <f t="shared" si="20"/>
        <v>12.024268628047025</v>
      </c>
      <c r="G62" s="20">
        <f t="shared" si="20"/>
        <v>10.273436768083698</v>
      </c>
      <c r="H62" s="19">
        <f t="shared" si="20"/>
        <v>-2.3850391390161576</v>
      </c>
      <c r="I62" s="106">
        <f t="shared" si="20"/>
        <v>5.2717412488210442</v>
      </c>
    </row>
    <row r="63" spans="1:11" ht="32.25" customHeight="1">
      <c r="A63" s="56" t="s">
        <v>70</v>
      </c>
      <c r="B63" s="57" t="s">
        <v>95</v>
      </c>
      <c r="D63" s="20">
        <f t="shared" si="20"/>
        <v>22.132817362014606</v>
      </c>
      <c r="E63" s="20">
        <f t="shared" si="20"/>
        <v>-12.048363876191786</v>
      </c>
      <c r="F63" s="20">
        <f t="shared" si="20"/>
        <v>-11.664789279569987</v>
      </c>
      <c r="G63" s="20">
        <f t="shared" si="20"/>
        <v>42.154829963170158</v>
      </c>
      <c r="H63" s="19">
        <f t="shared" si="20"/>
        <v>11.079070693515519</v>
      </c>
      <c r="I63" s="106">
        <f t="shared" si="20"/>
        <v>2.2511623129291678</v>
      </c>
    </row>
    <row r="64" spans="1:11" ht="32.25" customHeight="1">
      <c r="A64" s="56" t="s">
        <v>10</v>
      </c>
      <c r="B64" s="57" t="s">
        <v>58</v>
      </c>
      <c r="D64" s="20">
        <f t="shared" si="20"/>
        <v>70.70612028830098</v>
      </c>
      <c r="E64" s="20">
        <f t="shared" si="20"/>
        <v>-51.29114507346214</v>
      </c>
      <c r="F64" s="20">
        <f t="shared" si="20"/>
        <v>25.450698891112594</v>
      </c>
      <c r="G64" s="20">
        <f t="shared" si="20"/>
        <v>28.193313170052193</v>
      </c>
      <c r="H64" s="19">
        <f t="shared" si="20"/>
        <v>9.8573764230143155</v>
      </c>
      <c r="I64" s="106">
        <f t="shared" si="20"/>
        <v>-4.3349791357272096</v>
      </c>
    </row>
    <row r="65" spans="1:9" ht="32.25" customHeight="1">
      <c r="A65" s="56" t="s">
        <v>59</v>
      </c>
      <c r="B65" s="57" t="s">
        <v>60</v>
      </c>
      <c r="D65" s="20">
        <f t="shared" si="20"/>
        <v>58.163583354654179</v>
      </c>
      <c r="E65" s="20">
        <f t="shared" si="20"/>
        <v>4.0722764637692421</v>
      </c>
      <c r="F65" s="20">
        <f t="shared" si="20"/>
        <v>-5.6589090248305212</v>
      </c>
      <c r="G65" s="20">
        <f t="shared" si="20"/>
        <v>23.333811131017754</v>
      </c>
      <c r="H65" s="19">
        <f t="shared" si="20"/>
        <v>5.0662048694960333</v>
      </c>
      <c r="I65" s="106">
        <f t="shared" si="20"/>
        <v>5.5479171083950121</v>
      </c>
    </row>
    <row r="66" spans="1:9" ht="32.25" customHeight="1">
      <c r="A66" s="56" t="s">
        <v>66</v>
      </c>
      <c r="B66" s="57" t="s">
        <v>67</v>
      </c>
      <c r="D66" s="20">
        <f t="shared" si="20"/>
        <v>-7.7558853973359874</v>
      </c>
      <c r="E66" s="20">
        <f t="shared" si="20"/>
        <v>-34.7614179937285</v>
      </c>
      <c r="F66" s="20">
        <f t="shared" si="20"/>
        <v>-6.4052676588920292</v>
      </c>
      <c r="G66" s="20">
        <f t="shared" si="20"/>
        <v>1.5254668003767762</v>
      </c>
      <c r="H66" s="19">
        <f t="shared" si="20"/>
        <v>3.8261517837434127</v>
      </c>
      <c r="I66" s="106">
        <f t="shared" si="20"/>
        <v>4.4114556456360816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20"/>
        <v>-3.4100803644601427</v>
      </c>
      <c r="E67" s="23">
        <f t="shared" si="20"/>
        <v>-19.646724417975108</v>
      </c>
      <c r="F67" s="24">
        <f t="shared" si="20"/>
        <v>-11.748458818107892</v>
      </c>
      <c r="G67" s="24">
        <f t="shared" si="20"/>
        <v>27.898314542337374</v>
      </c>
      <c r="H67" s="132">
        <f t="shared" si="20"/>
        <v>24.248152326554859</v>
      </c>
      <c r="I67" s="131">
        <f t="shared" si="20"/>
        <v>9.2021255687912031</v>
      </c>
    </row>
    <row r="68" spans="1:9" ht="32.25" customHeight="1">
      <c r="A68" s="25"/>
      <c r="B68" s="78" t="s">
        <v>93</v>
      </c>
      <c r="C68" s="82"/>
      <c r="D68" s="24">
        <f t="shared" si="20"/>
        <v>6.1661291146241695</v>
      </c>
      <c r="E68" s="24">
        <f t="shared" si="20"/>
        <v>17.370127128818353</v>
      </c>
      <c r="F68" s="24">
        <f t="shared" si="20"/>
        <v>11.690611878352854</v>
      </c>
      <c r="G68" s="24">
        <f t="shared" si="20"/>
        <v>-2.3470467321459978</v>
      </c>
      <c r="H68" s="24">
        <f t="shared" si="20"/>
        <v>10.81159572158397</v>
      </c>
      <c r="I68" s="117">
        <f t="shared" si="20"/>
        <v>0.92408740796285826</v>
      </c>
    </row>
    <row r="69" spans="1:9" ht="32.25" customHeight="1">
      <c r="A69" s="34"/>
      <c r="B69" s="79" t="s">
        <v>33</v>
      </c>
      <c r="C69" s="82"/>
      <c r="D69" s="33">
        <f t="shared" si="20"/>
        <v>1.2972027217966087</v>
      </c>
      <c r="E69" s="33">
        <f t="shared" si="20"/>
        <v>8.6720675612568243</v>
      </c>
      <c r="F69" s="33">
        <f t="shared" si="20"/>
        <v>14.090157286176023</v>
      </c>
      <c r="G69" s="88">
        <f t="shared" si="20"/>
        <v>1.3634652200228032</v>
      </c>
      <c r="H69" s="88">
        <f t="shared" si="20"/>
        <v>2.4031880618684767</v>
      </c>
      <c r="I69" s="129">
        <f t="shared" si="20"/>
        <v>6.175202082222512</v>
      </c>
    </row>
    <row r="70" spans="1:9" ht="32.25" customHeight="1">
      <c r="A70" s="21" t="s">
        <v>25</v>
      </c>
      <c r="B70" s="80" t="s">
        <v>34</v>
      </c>
      <c r="C70" s="82"/>
      <c r="D70" s="24">
        <f t="shared" si="20"/>
        <v>-0.59451860516868749</v>
      </c>
      <c r="E70" s="24">
        <f t="shared" si="20"/>
        <v>-29.70774267678506</v>
      </c>
      <c r="F70" s="24">
        <f t="shared" si="20"/>
        <v>21.896490728252587</v>
      </c>
      <c r="G70" s="24">
        <f t="shared" si="20"/>
        <v>14.169795572848031</v>
      </c>
      <c r="H70" s="24">
        <f t="shared" si="20"/>
        <v>5.8776611593807075</v>
      </c>
      <c r="I70" s="117">
        <f t="shared" si="20"/>
        <v>5.2732124657050292</v>
      </c>
    </row>
    <row r="71" spans="1:9" ht="32.25" customHeight="1">
      <c r="A71" s="30"/>
      <c r="B71" s="81" t="s">
        <v>35</v>
      </c>
      <c r="C71" s="82"/>
      <c r="D71" s="31">
        <f t="shared" si="20"/>
        <v>1.2173231261385382</v>
      </c>
      <c r="E71" s="31">
        <f t="shared" si="20"/>
        <v>7.0559559039803617</v>
      </c>
      <c r="F71" s="31">
        <f t="shared" si="20"/>
        <v>14.309004007931733</v>
      </c>
      <c r="G71" s="31">
        <f t="shared" si="20"/>
        <v>1.7568447759943382</v>
      </c>
      <c r="H71" s="31">
        <f t="shared" si="20"/>
        <v>2.5227647061108769</v>
      </c>
      <c r="I71" s="129">
        <f t="shared" si="20"/>
        <v>6.1455641281208671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 ht="12.75" customHeight="1">
      <c r="A86" s="18"/>
      <c r="B86" s="99"/>
      <c r="C86" s="10"/>
      <c r="D86" s="99"/>
      <c r="E86" s="99"/>
    </row>
    <row r="87" spans="1:8">
      <c r="A87" s="18"/>
      <c r="B87" s="99"/>
      <c r="C87" s="99"/>
      <c r="D87" s="99"/>
      <c r="E87" s="99"/>
    </row>
    <row r="88" spans="1:8">
      <c r="A88" s="61"/>
      <c r="B88" s="99"/>
      <c r="C88" s="99"/>
      <c r="D88" s="99"/>
      <c r="E88" s="99"/>
    </row>
    <row r="89" spans="1:8">
      <c r="A89" s="64"/>
      <c r="B89" s="45"/>
      <c r="C89" s="45"/>
      <c r="D89" s="99"/>
      <c r="E89" s="99"/>
    </row>
    <row r="90" spans="1:8">
      <c r="A90" s="64"/>
      <c r="B90" s="45"/>
      <c r="C90" s="45"/>
      <c r="D90" s="99"/>
      <c r="E90" s="99"/>
    </row>
    <row r="91" spans="1:8">
      <c r="A91" s="64"/>
      <c r="B91" s="45"/>
      <c r="C91" s="45"/>
      <c r="D91" s="99"/>
      <c r="E91" s="99"/>
    </row>
    <row r="92" spans="1:8">
      <c r="A92" s="64"/>
      <c r="B92" s="45"/>
      <c r="C92" s="45"/>
      <c r="D92" s="99"/>
      <c r="E92" s="99"/>
    </row>
    <row r="93" spans="1:8">
      <c r="A93" s="64"/>
      <c r="B93" s="45"/>
      <c r="C93" s="45"/>
      <c r="D93" s="99"/>
      <c r="E93" s="99"/>
    </row>
    <row r="94" spans="1:8">
      <c r="A94" s="91"/>
      <c r="B94" s="99"/>
      <c r="C94" s="59"/>
      <c r="D94" s="99"/>
      <c r="E94" s="99"/>
    </row>
    <row r="95" spans="1:8">
      <c r="A95" s="7"/>
      <c r="B95" s="99"/>
      <c r="C95" s="18"/>
      <c r="D95" s="99"/>
      <c r="E95" s="99"/>
    </row>
    <row r="96" spans="1:8">
      <c r="B96" s="99"/>
      <c r="C96" s="18"/>
      <c r="D96" s="99"/>
      <c r="E96" s="99"/>
    </row>
    <row r="97" spans="1:5">
      <c r="B97" s="99"/>
      <c r="C97" s="18"/>
      <c r="D97" s="99"/>
      <c r="E97" s="99"/>
    </row>
    <row r="98" spans="1:5">
      <c r="B98" s="99"/>
      <c r="C98" s="18"/>
      <c r="D98" s="99"/>
      <c r="E98" s="99"/>
    </row>
    <row r="99" spans="1:5">
      <c r="A99" s="61"/>
      <c r="B99" s="99"/>
      <c r="C99" s="99"/>
      <c r="D99" s="99"/>
      <c r="E99" s="99"/>
    </row>
    <row r="100" spans="1:5">
      <c r="A100" s="61"/>
      <c r="B100" s="99"/>
      <c r="C100" s="99"/>
      <c r="D100" s="99"/>
      <c r="E100" s="99"/>
    </row>
  </sheetData>
  <mergeCells count="9">
    <mergeCell ref="A73:E73"/>
    <mergeCell ref="A51:A52"/>
    <mergeCell ref="A28:A29"/>
    <mergeCell ref="A5:A6"/>
    <mergeCell ref="C5:I5"/>
    <mergeCell ref="B5:B6"/>
    <mergeCell ref="B51:C52"/>
    <mergeCell ref="C28:I28"/>
    <mergeCell ref="B28:B29"/>
  </mergeCells>
  <hyperlinks>
    <hyperlink ref="K2" location="Índice!A1" display="Índice"/>
    <hyperlink ref="K3" location="'Cuadro 3-Coclé'!A27" display="Composición "/>
    <hyperlink ref="K4" location="'Cuadro 2-Bocas del Toro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5" max="8" man="1"/>
    <brk id="4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P2"/>
  <sheetViews>
    <sheetView zoomScale="90" zoomScaleNormal="9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52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86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159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160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101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89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Toro'!C$6,DATOS!$B:$B,"B100101_02",DATOS!$G:$G,"0311",DATOS!$C:$C,"00")</f>
        <v>192.40933990361759</v>
      </c>
      <c r="D7" s="194">
        <f>SUMIFS(DATOS!$F:$F,DATOS!$D:$D,$A7,DATOS!$A:$A,'Cuadro 2-Bocas del Toro'!D$6,DATOS!$B:$B,"B100101_02",DATOS!$G:$G,"0311",DATOS!$C:$C,"00")</f>
        <v>184.07071442101295</v>
      </c>
      <c r="E7" s="194">
        <f>SUMIFS(DATOS!$F:$F,DATOS!$D:$D,$A7,DATOS!$A:$A,'Cuadro 2-Bocas del Toro'!E$6,DATOS!$B:$B,"B100101_02",DATOS!$G:$G,"0311",DATOS!$C:$C,"00")</f>
        <v>186.28117256432648</v>
      </c>
      <c r="F7" s="194">
        <f>SUMIFS(DATOS!$F:$F,DATOS!$D:$D,$A7,DATOS!$A:$A,'Cuadro 2-Bocas del Toro'!F$6,DATOS!$B:$B,"B100101_02",DATOS!$G:$G,"0311",DATOS!$C:$C,"00")</f>
        <v>201.01491873236927</v>
      </c>
      <c r="G7" s="194">
        <f>SUMIFS(DATOS!$F:$F,DATOS!$D:$D,$A7,DATOS!$A:$A,'Cuadro 2-Bocas del Toro'!G$6,DATOS!$B:$B,"B100101_02",DATOS!$G:$G,"0311",DATOS!$C:$C,"00")</f>
        <v>228.87728244260518</v>
      </c>
      <c r="H7" s="194">
        <f>SUMIFS(DATOS!$F:$F,DATOS!$D:$D,$A7,DATOS!$A:$A,'Cuadro 2-Bocas del Toro'!H$6,DATOS!$B:$B,"B100101_02",DATOS!$G:$G,"0311",DATOS!$C:$C,"00")</f>
        <v>230.11593343554208</v>
      </c>
      <c r="I7" s="195">
        <f>SUMIFS(DATOS!$F:$F,DATOS!$D:$D,$A7,DATOS!$A:$A,'Cuadro 2-Bocas del Toro'!I$6,DATOS!$B:$B,"B100101_02",DATOS!$G:$G,"0311",DATOS!$C:$C,"00")</f>
        <v>278.22710713536583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Toro'!C$6,DATOS!$B:$B,"B100101_02",DATOS!$G:$G,"0311",DATOS!$C:$C,"00")</f>
        <v>31.617562374561953</v>
      </c>
      <c r="D8" s="194">
        <f>SUMIFS(DATOS!$F:$F,DATOS!$D:$D,$A8,DATOS!$A:$A,'Cuadro 2-Bocas del Toro'!D$6,DATOS!$B:$B,"B100101_02",DATOS!$G:$G,"0311",DATOS!$C:$C,"00")</f>
        <v>32.933370963155753</v>
      </c>
      <c r="E8" s="194">
        <f>SUMIFS(DATOS!$F:$F,DATOS!$D:$D,$A8,DATOS!$A:$A,'Cuadro 2-Bocas del Toro'!E$6,DATOS!$B:$B,"B100101_02",DATOS!$G:$G,"0311",DATOS!$C:$C,"00")</f>
        <v>17.611593377834744</v>
      </c>
      <c r="F8" s="194">
        <f>SUMIFS(DATOS!$F:$F,DATOS!$D:$D,$A8,DATOS!$A:$A,'Cuadro 2-Bocas del Toro'!F$6,DATOS!$B:$B,"B100101_02",DATOS!$G:$G,"0311",DATOS!$C:$C,"00")</f>
        <v>35.948325581020839</v>
      </c>
      <c r="G8" s="194">
        <f>SUMIFS(DATOS!$F:$F,DATOS!$D:$D,$A8,DATOS!$A:$A,'Cuadro 2-Bocas del Toro'!G$6,DATOS!$B:$B,"B100101_02",DATOS!$G:$G,"0311",DATOS!$C:$C,"00")</f>
        <v>34.821168667499627</v>
      </c>
      <c r="H8" s="194">
        <f>SUMIFS(DATOS!$F:$F,DATOS!$D:$D,$A8,DATOS!$A:$A,'Cuadro 2-Bocas del Toro'!H$6,DATOS!$B:$B,"B100101_02",DATOS!$G:$G,"0311",DATOS!$C:$C,"00")</f>
        <v>39.978339205549588</v>
      </c>
      <c r="I8" s="195">
        <f>SUMIFS(DATOS!$F:$F,DATOS!$D:$D,$A8,DATOS!$A:$A,'Cuadro 2-Bocas del Toro'!I$6,DATOS!$B:$B,"B100101_02",DATOS!$G:$G,"0311",DATOS!$C:$C,"00")</f>
        <v>60.361795005055889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Toro'!C$6,DATOS!$B:$B,"B100101_02",DATOS!$G:$G,"0311",DATOS!$C:$C,"00")</f>
        <v>360.41093787863514</v>
      </c>
      <c r="D9" s="194">
        <f>SUMIFS(DATOS!$F:$F,DATOS!$D:$D,$A9,DATOS!$A:$A,'Cuadro 2-Bocas del Toro'!D$6,DATOS!$B:$B,"B100101_02",DATOS!$G:$G,"0311",DATOS!$C:$C,"00")</f>
        <v>287.66258340014707</v>
      </c>
      <c r="E9" s="194">
        <f>SUMIFS(DATOS!$F:$F,DATOS!$D:$D,$A9,DATOS!$A:$A,'Cuadro 2-Bocas del Toro'!E$6,DATOS!$B:$B,"B100101_02",DATOS!$G:$G,"0311",DATOS!$C:$C,"00")</f>
        <v>238.97141213875744</v>
      </c>
      <c r="F9" s="194">
        <f>SUMIFS(DATOS!$F:$F,DATOS!$D:$D,$A9,DATOS!$A:$A,'Cuadro 2-Bocas del Toro'!F$6,DATOS!$B:$B,"B100101_02",DATOS!$G:$G,"0311",DATOS!$C:$C,"00")</f>
        <v>271.92954561214208</v>
      </c>
      <c r="G9" s="194">
        <f>SUMIFS(DATOS!$F:$F,DATOS!$D:$D,$A9,DATOS!$A:$A,'Cuadro 2-Bocas del Toro'!G$6,DATOS!$B:$B,"B100101_02",DATOS!$G:$G,"0311",DATOS!$C:$C,"00")</f>
        <v>308.19307281717948</v>
      </c>
      <c r="H9" s="194">
        <f>SUMIFS(DATOS!$F:$F,DATOS!$D:$D,$A9,DATOS!$A:$A,'Cuadro 2-Bocas del Toro'!H$6,DATOS!$B:$B,"B100101_02",DATOS!$G:$G,"0311",DATOS!$C:$C,"00")</f>
        <v>294.91090738194401</v>
      </c>
      <c r="I9" s="195">
        <f>SUMIFS(DATOS!$F:$F,DATOS!$D:$D,$A9,DATOS!$A:$A,'Cuadro 2-Bocas del Toro'!I$6,DATOS!$B:$B,"B100101_02",DATOS!$G:$G,"0311",DATOS!$C:$C,"00")</f>
        <v>306.67117858180319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Toro'!C$6,DATOS!$B:$B,"B100101_02",DATOS!$G:$G,"0311",DATOS!$C:$C,"00")</f>
        <v>79.797330876925045</v>
      </c>
      <c r="D10" s="194">
        <f>SUMIFS(DATOS!$F:$F,DATOS!$D:$D,$A10,DATOS!$A:$A,'Cuadro 2-Bocas del Toro'!D$6,DATOS!$B:$B,"B100101_02",DATOS!$G:$G,"0311",DATOS!$C:$C,"00")</f>
        <v>98.769190903838606</v>
      </c>
      <c r="E10" s="194">
        <f>SUMIFS(DATOS!$F:$F,DATOS!$D:$D,$A10,DATOS!$A:$A,'Cuadro 2-Bocas del Toro'!E$6,DATOS!$B:$B,"B100101_02",DATOS!$G:$G,"0311",DATOS!$C:$C,"00")</f>
        <v>90.481109634084646</v>
      </c>
      <c r="F10" s="194">
        <f>SUMIFS(DATOS!$F:$F,DATOS!$D:$D,$A10,DATOS!$A:$A,'Cuadro 2-Bocas del Toro'!F$6,DATOS!$B:$B,"B100101_02",DATOS!$G:$G,"0311",DATOS!$C:$C,"00")</f>
        <v>108.95215292822364</v>
      </c>
      <c r="G10" s="194">
        <f>SUMIFS(DATOS!$F:$F,DATOS!$D:$D,$A10,DATOS!$A:$A,'Cuadro 2-Bocas del Toro'!G$6,DATOS!$B:$B,"B100101_02",DATOS!$G:$G,"0311",DATOS!$C:$C,"00")</f>
        <v>116.0643887898556</v>
      </c>
      <c r="H10" s="194">
        <f>SUMIFS(DATOS!$F:$F,DATOS!$D:$D,$A10,DATOS!$A:$A,'Cuadro 2-Bocas del Toro'!H$6,DATOS!$B:$B,"B100101_02",DATOS!$G:$G,"0311",DATOS!$C:$C,"00")</f>
        <v>152.44663236731648</v>
      </c>
      <c r="I10" s="195">
        <f>SUMIFS(DATOS!$F:$F,DATOS!$D:$D,$A10,DATOS!$A:$A,'Cuadro 2-Bocas del Toro'!I$6,DATOS!$B:$B,"B100101_02",DATOS!$G:$G,"0311",DATOS!$C:$C,"00")</f>
        <v>129.15322545519254</v>
      </c>
    </row>
    <row r="11" spans="1:12" ht="32.25" customHeight="1">
      <c r="A11" s="56" t="s">
        <v>4</v>
      </c>
      <c r="B11" s="60" t="s">
        <v>94</v>
      </c>
      <c r="C11" s="194">
        <f>SUMIFS(DATOS!$F:$F,DATOS!$D:$D,$A11,DATOS!$A:$A,'Cuadro 2-Bocas del Toro'!C$6,DATOS!$B:$B,"B100101_02",DATOS!$G:$G,"0311",DATOS!$C:$C,"00")</f>
        <v>432.89628844140594</v>
      </c>
      <c r="D11" s="194">
        <f>SUMIFS(DATOS!$F:$F,DATOS!$D:$D,$A11,DATOS!$A:$A,'Cuadro 2-Bocas del Toro'!D$6,DATOS!$B:$B,"B100101_02",DATOS!$G:$G,"0311",DATOS!$C:$C,"00")</f>
        <v>414.09206231117167</v>
      </c>
      <c r="E11" s="194">
        <f>SUMIFS(DATOS!$F:$F,DATOS!$D:$D,$A11,DATOS!$A:$A,'Cuadro 2-Bocas del Toro'!E$6,DATOS!$B:$B,"B100101_02",DATOS!$G:$G,"0311",DATOS!$C:$C,"00")</f>
        <v>224.27333170014248</v>
      </c>
      <c r="F11" s="194">
        <f>SUMIFS(DATOS!$F:$F,DATOS!$D:$D,$A11,DATOS!$A:$A,'Cuadro 2-Bocas del Toro'!F$6,DATOS!$B:$B,"B100101_02",DATOS!$G:$G,"0311",DATOS!$C:$C,"00")</f>
        <v>433.96940811297571</v>
      </c>
      <c r="G11" s="194">
        <f>SUMIFS(DATOS!$F:$F,DATOS!$D:$D,$A11,DATOS!$A:$A,'Cuadro 2-Bocas del Toro'!G$6,DATOS!$B:$B,"B100101_02",DATOS!$G:$G,"0311",DATOS!$C:$C,"00")</f>
        <v>395.72653849120087</v>
      </c>
      <c r="H11" s="194">
        <f>SUMIFS(DATOS!$F:$F,DATOS!$D:$D,$A11,DATOS!$A:$A,'Cuadro 2-Bocas del Toro'!H$6,DATOS!$B:$B,"B100101_02",DATOS!$G:$G,"0311",DATOS!$C:$C,"00")</f>
        <v>454.64892288348483</v>
      </c>
      <c r="I11" s="195">
        <f>SUMIFS(DATOS!$F:$F,DATOS!$D:$D,$A11,DATOS!$A:$A,'Cuadro 2-Bocas del Toro'!I$6,DATOS!$B:$B,"B100101_02",DATOS!$G:$G,"0311",DATOS!$C:$C,"00")</f>
        <v>475.37124663854314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Toro'!C$6,DATOS!$B:$B,"B100101_02",DATOS!$G:$G,"0311",DATOS!$C:$C,"00")</f>
        <v>169.22136374778805</v>
      </c>
      <c r="D12" s="194">
        <f>SUMIFS(DATOS!$F:$F,DATOS!$D:$D,$A12,DATOS!$A:$A,'Cuadro 2-Bocas del Toro'!D$6,DATOS!$B:$B,"B100101_02",DATOS!$G:$G,"0311",DATOS!$C:$C,"00")</f>
        <v>167.6632814651509</v>
      </c>
      <c r="E12" s="194">
        <f>SUMIFS(DATOS!$F:$F,DATOS!$D:$D,$A12,DATOS!$A:$A,'Cuadro 2-Bocas del Toro'!E$6,DATOS!$B:$B,"B100101_02",DATOS!$G:$G,"0311",DATOS!$C:$C,"00")</f>
        <v>90.965020109546728</v>
      </c>
      <c r="F12" s="194">
        <f>SUMIFS(DATOS!$F:$F,DATOS!$D:$D,$A12,DATOS!$A:$A,'Cuadro 2-Bocas del Toro'!F$6,DATOS!$B:$B,"B100101_02",DATOS!$G:$G,"0311",DATOS!$C:$C,"00")</f>
        <v>159.33740036071097</v>
      </c>
      <c r="G12" s="194">
        <f>SUMIFS(DATOS!$F:$F,DATOS!$D:$D,$A12,DATOS!$A:$A,'Cuadro 2-Bocas del Toro'!G$6,DATOS!$B:$B,"B100101_02",DATOS!$G:$G,"0311",DATOS!$C:$C,"00")</f>
        <v>185.87353298069306</v>
      </c>
      <c r="H12" s="194">
        <f>SUMIFS(DATOS!$F:$F,DATOS!$D:$D,$A12,DATOS!$A:$A,'Cuadro 2-Bocas del Toro'!H$6,DATOS!$B:$B,"B100101_02",DATOS!$G:$G,"0311",DATOS!$C:$C,"00")</f>
        <v>126.38823744021811</v>
      </c>
      <c r="I12" s="195">
        <f>SUMIFS(DATOS!$F:$F,DATOS!$D:$D,$A12,DATOS!$A:$A,'Cuadro 2-Bocas del Toro'!I$6,DATOS!$B:$B,"B100101_02",DATOS!$G:$G,"0311",DATOS!$C:$C,"00")</f>
        <v>138.16381052033648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Toro'!C$6,DATOS!$B:$B,"B100101_02",DATOS!$G:$G,"0311",DATOS!$C:$C,"00")</f>
        <v>63.10703644902835</v>
      </c>
      <c r="D13" s="194">
        <f>SUMIFS(DATOS!$F:$F,DATOS!$D:$D,$A13,DATOS!$A:$A,'Cuadro 2-Bocas del Toro'!D$6,DATOS!$B:$B,"B100101_02",DATOS!$G:$G,"0311",DATOS!$C:$C,"00")</f>
        <v>51.972444179527969</v>
      </c>
      <c r="E13" s="194">
        <f>SUMIFS(DATOS!$F:$F,DATOS!$D:$D,$A13,DATOS!$A:$A,'Cuadro 2-Bocas del Toro'!E$6,DATOS!$B:$B,"B100101_02",DATOS!$G:$G,"0311",DATOS!$C:$C,"00")</f>
        <v>40.217315700933021</v>
      </c>
      <c r="F13" s="194">
        <f>SUMIFS(DATOS!$F:$F,DATOS!$D:$D,$A13,DATOS!$A:$A,'Cuadro 2-Bocas del Toro'!F$6,DATOS!$B:$B,"B100101_02",DATOS!$G:$G,"0311",DATOS!$C:$C,"00")</f>
        <v>61.004967857117478</v>
      </c>
      <c r="G13" s="194">
        <f>SUMIFS(DATOS!$F:$F,DATOS!$D:$D,$A13,DATOS!$A:$A,'Cuadro 2-Bocas del Toro'!G$6,DATOS!$B:$B,"B100101_02",DATOS!$G:$G,"0311",DATOS!$C:$C,"00")</f>
        <v>71.836832031364025</v>
      </c>
      <c r="H13" s="194">
        <f>SUMIFS(DATOS!$F:$F,DATOS!$D:$D,$A13,DATOS!$A:$A,'Cuadro 2-Bocas del Toro'!H$6,DATOS!$B:$B,"B100101_02",DATOS!$G:$G,"0311",DATOS!$C:$C,"00")</f>
        <v>83.099950814805595</v>
      </c>
      <c r="I13" s="195">
        <f>SUMIFS(DATOS!$F:$F,DATOS!$D:$D,$A13,DATOS!$A:$A,'Cuadro 2-Bocas del Toro'!I$6,DATOS!$B:$B,"B100101_02",DATOS!$G:$G,"0311",DATOS!$C:$C,"00")</f>
        <v>77.309167442473367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Toro'!C$6,DATOS!$B:$B,"B100101_02",DATOS!$G:$G,"0311",DATOS!$C:$C,"00")</f>
        <v>113.64315391091843</v>
      </c>
      <c r="D14" s="194">
        <f>SUMIFS(DATOS!$F:$F,DATOS!$D:$D,$A14,DATOS!$A:$A,'Cuadro 2-Bocas del Toro'!D$6,DATOS!$B:$B,"B100101_02",DATOS!$G:$G,"0311",DATOS!$C:$C,"00")</f>
        <v>100.29203292581225</v>
      </c>
      <c r="E14" s="194">
        <f>SUMIFS(DATOS!$F:$F,DATOS!$D:$D,$A14,DATOS!$A:$A,'Cuadro 2-Bocas del Toro'!E$6,DATOS!$B:$B,"B100101_02",DATOS!$G:$G,"0311",DATOS!$C:$C,"00")</f>
        <v>37.7096309533311</v>
      </c>
      <c r="F14" s="194">
        <f>SUMIFS(DATOS!$F:$F,DATOS!$D:$D,$A14,DATOS!$A:$A,'Cuadro 2-Bocas del Toro'!F$6,DATOS!$B:$B,"B100101_02",DATOS!$G:$G,"0311",DATOS!$C:$C,"00")</f>
        <v>55.074579104039231</v>
      </c>
      <c r="G14" s="194">
        <f>SUMIFS(DATOS!$F:$F,DATOS!$D:$D,$A14,DATOS!$A:$A,'Cuadro 2-Bocas del Toro'!G$6,DATOS!$B:$B,"B100101_02",DATOS!$G:$G,"0311",DATOS!$C:$C,"00")</f>
        <v>63.959561684397229</v>
      </c>
      <c r="H14" s="194">
        <f>SUMIFS(DATOS!$F:$F,DATOS!$D:$D,$A14,DATOS!$A:$A,'Cuadro 2-Bocas del Toro'!H$6,DATOS!$B:$B,"B100101_02",DATOS!$G:$G,"0311",DATOS!$C:$C,"00")</f>
        <v>66.965333924711999</v>
      </c>
      <c r="I14" s="195">
        <f>SUMIFS(DATOS!$F:$F,DATOS!$D:$D,$A14,DATOS!$A:$A,'Cuadro 2-Bocas del Toro'!I$6,DATOS!$B:$B,"B100101_02",DATOS!$G:$G,"0311",DATOS!$C:$C,"00")</f>
        <v>76.702939746408106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Toro'!C$6,DATOS!$B:$B,"B100101_02",DATOS!$G:$G,"0311",DATOS!$C:$C,"00")</f>
        <v>100.79445604586135</v>
      </c>
      <c r="D15" s="194">
        <f>SUMIFS(DATOS!$F:$F,DATOS!$D:$D,$A15,DATOS!$A:$A,'Cuadro 2-Bocas del Toro'!D$6,DATOS!$B:$B,"B100101_02",DATOS!$G:$G,"0311",DATOS!$C:$C,"00")</f>
        <v>100.27000476331223</v>
      </c>
      <c r="E15" s="194">
        <f>SUMIFS(DATOS!$F:$F,DATOS!$D:$D,$A15,DATOS!$A:$A,'Cuadro 2-Bocas del Toro'!E$6,DATOS!$B:$B,"B100101_02",DATOS!$G:$G,"0311",DATOS!$C:$C,"00")</f>
        <v>101.03085725832939</v>
      </c>
      <c r="F15" s="194">
        <f>SUMIFS(DATOS!$F:$F,DATOS!$D:$D,$A15,DATOS!$A:$A,'Cuadro 2-Bocas del Toro'!F$6,DATOS!$B:$B,"B100101_02",DATOS!$G:$G,"0311",DATOS!$C:$C,"00")</f>
        <v>106.36652108227847</v>
      </c>
      <c r="G15" s="194">
        <f>SUMIFS(DATOS!$F:$F,DATOS!$D:$D,$A15,DATOS!$A:$A,'Cuadro 2-Bocas del Toro'!G$6,DATOS!$B:$B,"B100101_02",DATOS!$G:$G,"0311",DATOS!$C:$C,"00")</f>
        <v>104.52021068498534</v>
      </c>
      <c r="H15" s="194">
        <f>SUMIFS(DATOS!$F:$F,DATOS!$D:$D,$A15,DATOS!$A:$A,'Cuadro 2-Bocas del Toro'!H$6,DATOS!$B:$B,"B100101_02",DATOS!$G:$G,"0311",DATOS!$C:$C,"00")</f>
        <v>111.45810998879422</v>
      </c>
      <c r="I15" s="195">
        <f>SUMIFS(DATOS!$F:$F,DATOS!$D:$D,$A15,DATOS!$A:$A,'Cuadro 2-Bocas del Toro'!I$6,DATOS!$B:$B,"B100101_02",DATOS!$G:$G,"0311",DATOS!$C:$C,"00")</f>
        <v>118.1980122394359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Toro'!C$6,DATOS!$B:$B,"B100101_02",DATOS!$G:$G,"0311",DATOS!$C:$C,"00")</f>
        <v>50.543070737934251</v>
      </c>
      <c r="D16" s="194">
        <f>SUMIFS(DATOS!$F:$F,DATOS!$D:$D,$A16,DATOS!$A:$A,'Cuadro 2-Bocas del Toro'!D$6,DATOS!$B:$B,"B100101_02",DATOS!$G:$G,"0311",DATOS!$C:$C,"00")</f>
        <v>51.48954408602949</v>
      </c>
      <c r="E16" s="194">
        <f>SUMIFS(DATOS!$F:$F,DATOS!$D:$D,$A16,DATOS!$A:$A,'Cuadro 2-Bocas del Toro'!E$6,DATOS!$B:$B,"B100101_02",DATOS!$G:$G,"0311",DATOS!$C:$C,"00")</f>
        <v>50.404078795113989</v>
      </c>
      <c r="F16" s="194">
        <f>SUMIFS(DATOS!$F:$F,DATOS!$D:$D,$A16,DATOS!$A:$A,'Cuadro 2-Bocas del Toro'!F$6,DATOS!$B:$B,"B100101_02",DATOS!$G:$G,"0311",DATOS!$C:$C,"00")</f>
        <v>54.711172287929024</v>
      </c>
      <c r="G16" s="194">
        <f>SUMIFS(DATOS!$F:$F,DATOS!$D:$D,$A16,DATOS!$A:$A,'Cuadro 2-Bocas del Toro'!G$6,DATOS!$B:$B,"B100101_02",DATOS!$G:$G,"0311",DATOS!$C:$C,"00")</f>
        <v>58.144396825677561</v>
      </c>
      <c r="H16" s="194">
        <f>SUMIFS(DATOS!$F:$F,DATOS!$D:$D,$A16,DATOS!$A:$A,'Cuadro 2-Bocas del Toro'!H$6,DATOS!$B:$B,"B100101_02",DATOS!$G:$G,"0311",DATOS!$C:$C,"00")</f>
        <v>58.463919460427604</v>
      </c>
      <c r="I16" s="195">
        <f>SUMIFS(DATOS!$F:$F,DATOS!$D:$D,$A16,DATOS!$A:$A,'Cuadro 2-Bocas del Toro'!I$6,DATOS!$B:$B,"B100101_02",DATOS!$G:$G,"0311",DATOS!$C:$C,"00")</f>
        <v>62.675057239258614</v>
      </c>
    </row>
    <row r="17" spans="1:16" ht="32.25" customHeight="1">
      <c r="A17" s="56" t="s">
        <v>70</v>
      </c>
      <c r="B17" s="60" t="s">
        <v>95</v>
      </c>
      <c r="C17" s="194">
        <f>SUMIFS(DATOS!$F:$F,DATOS!$D:$D,$A17,DATOS!$A:$A,'Cuadro 2-Bocas del Toro'!C$6,DATOS!$B:$B,"B100101_02",DATOS!$G:$G,"0311",DATOS!$C:$C,"00")</f>
        <v>148.33169169900754</v>
      </c>
      <c r="D17" s="194">
        <f>SUMIFS(DATOS!$F:$F,DATOS!$D:$D,$A17,DATOS!$A:$A,'Cuadro 2-Bocas del Toro'!D$6,DATOS!$B:$B,"B100101_02",DATOS!$G:$G,"0311",DATOS!$C:$C,"00")</f>
        <v>143.01972482238401</v>
      </c>
      <c r="E17" s="194">
        <f>SUMIFS(DATOS!$F:$F,DATOS!$D:$D,$A17,DATOS!$A:$A,'Cuadro 2-Bocas del Toro'!E$6,DATOS!$B:$B,"B100101_02",DATOS!$G:$G,"0311",DATOS!$C:$C,"00")</f>
        <v>151.85190781555781</v>
      </c>
      <c r="F17" s="194">
        <f>SUMIFS(DATOS!$F:$F,DATOS!$D:$D,$A17,DATOS!$A:$A,'Cuadro 2-Bocas del Toro'!F$6,DATOS!$B:$B,"B100101_02",DATOS!$G:$G,"0311",DATOS!$C:$C,"00")</f>
        <v>156.63339176261229</v>
      </c>
      <c r="G17" s="194">
        <f>SUMIFS(DATOS!$F:$F,DATOS!$D:$D,$A17,DATOS!$A:$A,'Cuadro 2-Bocas del Toro'!G$6,DATOS!$B:$B,"B100101_02",DATOS!$G:$G,"0311",DATOS!$C:$C,"00")</f>
        <v>189.70844920559918</v>
      </c>
      <c r="H17" s="194">
        <f>SUMIFS(DATOS!$F:$F,DATOS!$D:$D,$A17,DATOS!$A:$A,'Cuadro 2-Bocas del Toro'!H$6,DATOS!$B:$B,"B100101_02",DATOS!$G:$G,"0311",DATOS!$C:$C,"00")</f>
        <v>184.67930192806705</v>
      </c>
      <c r="I17" s="195">
        <f>SUMIFS(DATOS!$F:$F,DATOS!$D:$D,$A17,DATOS!$A:$A,'Cuadro 2-Bocas del Toro'!I$6,DATOS!$B:$B,"B100101_02",DATOS!$G:$G,"0311",DATOS!$C:$C,"00")</f>
        <v>195.84801700470427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Toro'!C$6,DATOS!$B:$B,"B100101_02",DATOS!$G:$G,"0311",DATOS!$C:$C,"00")</f>
        <v>3.5709833908099813</v>
      </c>
      <c r="D18" s="194">
        <f>SUMIFS(DATOS!$F:$F,DATOS!$D:$D,$A18,DATOS!$A:$A,'Cuadro 2-Bocas del Toro'!D$6,DATOS!$B:$B,"B100101_02",DATOS!$G:$G,"0311",DATOS!$C:$C,"00")</f>
        <v>3.6511374738505977</v>
      </c>
      <c r="E18" s="194">
        <f>SUMIFS(DATOS!$F:$F,DATOS!$D:$D,$A18,DATOS!$A:$A,'Cuadro 2-Bocas del Toro'!E$6,DATOS!$B:$B,"B100101_02",DATOS!$G:$G,"0311",DATOS!$C:$C,"00")</f>
        <v>2.8121724486518866</v>
      </c>
      <c r="F18" s="194">
        <f>SUMIFS(DATOS!$F:$F,DATOS!$D:$D,$A18,DATOS!$A:$A,'Cuadro 2-Bocas del Toro'!F$6,DATOS!$B:$B,"B100101_02",DATOS!$G:$G,"0311",DATOS!$C:$C,"00")</f>
        <v>2.7578542308084866</v>
      </c>
      <c r="G18" s="194">
        <f>SUMIFS(DATOS!$F:$F,DATOS!$D:$D,$A18,DATOS!$A:$A,'Cuadro 2-Bocas del Toro'!G$6,DATOS!$B:$B,"B100101_02",DATOS!$G:$G,"0311",DATOS!$C:$C,"00")</f>
        <v>3.7305425059319415</v>
      </c>
      <c r="H18" s="194">
        <f>SUMIFS(DATOS!$F:$F,DATOS!$D:$D,$A18,DATOS!$A:$A,'Cuadro 2-Bocas del Toro'!H$6,DATOS!$B:$B,"B100101_02",DATOS!$G:$G,"0311",DATOS!$C:$C,"00")</f>
        <v>4.0492357150649356</v>
      </c>
      <c r="I18" s="195">
        <f>SUMIFS(DATOS!$F:$F,DATOS!$D:$D,$A18,DATOS!$A:$A,'Cuadro 2-Bocas del Toro'!I$6,DATOS!$B:$B,"B100101_02",DATOS!$G:$G,"0311",DATOS!$C:$C,"00")</f>
        <v>4.5255156562370962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Toro'!C$6,DATOS!$B:$B,"B100101_02",DATOS!$G:$G,"0311",DATOS!$C:$C,"00")</f>
        <v>0.3087406521922102</v>
      </c>
      <c r="D19" s="194">
        <f>SUMIFS(DATOS!$F:$F,DATOS!$D:$D,$A19,DATOS!$A:$A,'Cuadro 2-Bocas del Toro'!D$6,DATOS!$B:$B,"B100101_02",DATOS!$G:$G,"0311",DATOS!$C:$C,"00")</f>
        <v>0.31793663727414073</v>
      </c>
      <c r="E19" s="194">
        <f>SUMIFS(DATOS!$F:$F,DATOS!$D:$D,$A19,DATOS!$A:$A,'Cuadro 2-Bocas del Toro'!E$6,DATOS!$B:$B,"B100101_02",DATOS!$G:$G,"0311",DATOS!$C:$C,"00")</f>
        <v>0.48070428920558606</v>
      </c>
      <c r="F19" s="194">
        <f>SUMIFS(DATOS!$F:$F,DATOS!$D:$D,$A19,DATOS!$A:$A,'Cuadro 2-Bocas del Toro'!F$6,DATOS!$B:$B,"B100101_02",DATOS!$G:$G,"0311",DATOS!$C:$C,"00")</f>
        <v>0.45666973773935154</v>
      </c>
      <c r="G19" s="194">
        <f>SUMIFS(DATOS!$F:$F,DATOS!$D:$D,$A19,DATOS!$A:$A,'Cuadro 2-Bocas del Toro'!G$6,DATOS!$B:$B,"B100101_02",DATOS!$G:$G,"0311",DATOS!$C:$C,"00")</f>
        <v>0.46970245273739913</v>
      </c>
      <c r="H19" s="194">
        <f>SUMIFS(DATOS!$F:$F,DATOS!$D:$D,$A19,DATOS!$A:$A,'Cuadro 2-Bocas del Toro'!H$6,DATOS!$B:$B,"B100101_02",DATOS!$G:$G,"0311",DATOS!$C:$C,"00")</f>
        <v>0.48393547801224945</v>
      </c>
      <c r="I19" s="195">
        <f>SUMIFS(DATOS!$F:$F,DATOS!$D:$D,$A19,DATOS!$A:$A,'Cuadro 2-Bocas del Toro'!I$6,DATOS!$B:$B,"B100101_02",DATOS!$G:$G,"0311",DATOS!$C:$C,"00")</f>
        <v>0.45571212415032908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Toro'!C$6,DATOS!$B:$B,"B100101_02",DATOS!$G:$G,"0311",DATOS!$C:$C,"00")</f>
        <v>2.2683930865732735</v>
      </c>
      <c r="D20" s="194">
        <f>SUMIFS(DATOS!$F:$F,DATOS!$D:$D,$A20,DATOS!$A:$A,'Cuadro 2-Bocas del Toro'!D$6,DATOS!$B:$B,"B100101_02",DATOS!$G:$G,"0311",DATOS!$C:$C,"00")</f>
        <v>2.0375113746876132</v>
      </c>
      <c r="E20" s="194">
        <f>SUMIFS(DATOS!$F:$F,DATOS!$D:$D,$A20,DATOS!$A:$A,'Cuadro 2-Bocas del Toro'!E$6,DATOS!$B:$B,"B100101_02",DATOS!$G:$G,"0311",DATOS!$C:$C,"00")</f>
        <v>1.0418655614739611</v>
      </c>
      <c r="F20" s="194">
        <f>SUMIFS(DATOS!$F:$F,DATOS!$D:$D,$A20,DATOS!$A:$A,'Cuadro 2-Bocas del Toro'!F$6,DATOS!$B:$B,"B100101_02",DATOS!$G:$G,"0311",DATOS!$C:$C,"00")</f>
        <v>0.92623808490822113</v>
      </c>
      <c r="G20" s="194">
        <f>SUMIFS(DATOS!$F:$F,DATOS!$D:$D,$A20,DATOS!$A:$A,'Cuadro 2-Bocas del Toro'!G$6,DATOS!$B:$B,"B100101_02",DATOS!$G:$G,"0311",DATOS!$C:$C,"00")</f>
        <v>1.2163126439559016</v>
      </c>
      <c r="H20" s="194">
        <f>SUMIFS(DATOS!$F:$F,DATOS!$D:$D,$A20,DATOS!$A:$A,'Cuadro 2-Bocas del Toro'!H$6,DATOS!$B:$B,"B100101_02",DATOS!$G:$G,"0311",DATOS!$C:$C,"00")</f>
        <v>2.0832895148811481</v>
      </c>
      <c r="I20" s="195">
        <f>SUMIFS(DATOS!$F:$F,DATOS!$D:$D,$A20,DATOS!$A:$A,'Cuadro 2-Bocas del Toro'!I$6,DATOS!$B:$B,"B100101_02",DATOS!$G:$G,"0311",DATOS!$C:$C,"00")</f>
        <v>2.4836990786539515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Toro'!C$6,DATOS!$B:$B,"B100101_02",DATOS!$G:$G,"0311",DATOS!$C:$C,"00")</f>
        <v>24.207657052440755</v>
      </c>
      <c r="D21" s="196">
        <f>SUMIFS(DATOS!$F:$F,DATOS!$D:$D,$A21,DATOS!$A:$A,'Cuadro 2-Bocas del Toro'!D$6,DATOS!$B:$B,"B100101_02",DATOS!$G:$G,"0311",DATOS!$C:$C,"00")</f>
        <v>25.083241041933753</v>
      </c>
      <c r="E21" s="196">
        <f>SUMIFS(DATOS!$F:$F,DATOS!$D:$D,$A21,DATOS!$A:$A,'Cuadro 2-Bocas del Toro'!E$6,DATOS!$B:$B,"B100101_02",DATOS!$G:$G,"0311",DATOS!$C:$C,"00")</f>
        <v>20.155205799328606</v>
      </c>
      <c r="F21" s="196">
        <f>SUMIFS(DATOS!$F:$F,DATOS!$D:$D,$A21,DATOS!$A:$A,'Cuadro 2-Bocas del Toro'!F$6,DATOS!$B:$B,"B100101_02",DATOS!$G:$G,"0311",DATOS!$C:$C,"00")</f>
        <v>23.83292342663426</v>
      </c>
      <c r="G21" s="196">
        <f>SUMIFS(DATOS!$F:$F,DATOS!$D:$D,$A21,DATOS!$A:$A,'Cuadro 2-Bocas del Toro'!G$6,DATOS!$B:$B,"B100101_02",DATOS!$G:$G,"0311",DATOS!$C:$C,"00")</f>
        <v>28.569735146604796</v>
      </c>
      <c r="H21" s="197">
        <f>SUMIFS(DATOS!$F:$F,DATOS!$D:$D,$A21,DATOS!$A:$A,'Cuadro 2-Bocas del Toro'!H$6,DATOS!$B:$B,"B100101_02",DATOS!$G:$G,"0311",DATOS!$C:$C,"00")</f>
        <v>23.866175950121786</v>
      </c>
      <c r="I21" s="198">
        <f>SUMIFS(DATOS!$F:$F,DATOS!$D:$D,$A21,DATOS!$A:$A,'Cuadro 2-Bocas del Toro'!I$6,DATOS!$B:$B,"B100101_02",DATOS!$G:$G,"0311",DATOS!$C:$C,"00")</f>
        <v>29.327671571648111</v>
      </c>
    </row>
    <row r="22" spans="1:16" ht="32.25" customHeight="1">
      <c r="A22" s="25"/>
      <c r="B22" s="22" t="s">
        <v>93</v>
      </c>
      <c r="C22" s="196">
        <f>SUMIFS(DATOS!$F:$F,DATOS!$D:$D,"GOB",DATOS!$A:$A,'Cuadro 2-Bocas del Toro'!C$6,DATOS!$B:$B,"B100103_02",DATOS!$G:$G,"0311",DATOS!$C:$C,"00")</f>
        <v>348.92790865688318</v>
      </c>
      <c r="D22" s="196">
        <f>SUMIFS(DATOS!$F:$F,DATOS!$D:$D,"GOB",DATOS!$A:$A,'Cuadro 2-Bocas del Toro'!D$6,DATOS!$B:$B,"B100103_02",DATOS!$G:$G,"0311",DATOS!$C:$C,"00")</f>
        <v>388.36421680619873</v>
      </c>
      <c r="E22" s="196">
        <f>SUMIFS(DATOS!$F:$F,DATOS!$D:$D,"GOB",DATOS!$A:$A,'Cuadro 2-Bocas del Toro'!E$6,DATOS!$B:$B,"B100103_02",DATOS!$G:$G,"0311",DATOS!$C:$C,"00")</f>
        <v>391.19764690039563</v>
      </c>
      <c r="F22" s="196">
        <f>SUMIFS(DATOS!$F:$F,DATOS!$D:$D,"GOB",DATOS!$A:$A,'Cuadro 2-Bocas del Toro'!F$6,DATOS!$B:$B,"B100103_02",DATOS!$G:$G,"0311",DATOS!$C:$C,"00")</f>
        <v>373.27598376189582</v>
      </c>
      <c r="G22" s="196">
        <f>SUMIFS(DATOS!$F:$F,DATOS!$D:$D,"GOB",DATOS!$A:$A,'Cuadro 2-Bocas del Toro'!G$6,DATOS!$B:$B,"B100103_02",DATOS!$G:$G,"0311",DATOS!$C:$C,"00")</f>
        <v>367.63208367301377</v>
      </c>
      <c r="H22" s="197">
        <f>SUMIFS(DATOS!$F:$F,DATOS!$D:$D,"GOB",DATOS!$A:$A,'Cuadro 2-Bocas del Toro'!H$6,DATOS!$B:$B,"B100103_02",DATOS!$G:$G,"0311",DATOS!$C:$C,"00")</f>
        <v>362.22156180726336</v>
      </c>
      <c r="I22" s="198">
        <f>SUMIFS(DATOS!$F:$F,DATOS!$D:$D,"GOB",DATOS!$A:$A,'Cuadro 2-Bocas del Toro'!I$6,DATOS!$B:$B,"B100103_02",DATOS!$G:$G,"0311",DATOS!$C:$C,"00")</f>
        <v>386.11971831586447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Toro'!C$6,DATOS!$B:$B,"VAB_02",DATOS!$G:$G,"0311",DATOS!$C:$C,"00")</f>
        <v>2122.055914904583</v>
      </c>
      <c r="D23" s="199">
        <f>SUMIFS(DATOS!$F:$F,DATOS!$D:$D,"VAB",DATOS!$A:$A,'Cuadro 2-Bocas del Toro'!D$6,DATOS!$B:$B,"VAB_02",DATOS!$G:$G,"0311",DATOS!$C:$C,"00")</f>
        <v>2051.688997575488</v>
      </c>
      <c r="E23" s="199">
        <f>SUMIFS(DATOS!$F:$F,DATOS!$D:$D,"VAB",DATOS!$A:$A,'Cuadro 2-Bocas del Toro'!E$6,DATOS!$B:$B,"VAB_02",DATOS!$G:$G,"0311",DATOS!$C:$C,"00")</f>
        <v>1647.4589508127058</v>
      </c>
      <c r="F23" s="199">
        <f>SUMIFS(DATOS!$F:$F,DATOS!$D:$D,"VAB",DATOS!$A:$A,'Cuadro 2-Bocas del Toro'!F$6,DATOS!$B:$B,"VAB_02",DATOS!$G:$G,"0311",DATOS!$C:$C,"00")</f>
        <v>2057.2838282655725</v>
      </c>
      <c r="G23" s="199">
        <f>SUMIFS(DATOS!$F:$F,DATOS!$D:$D,"VAB",DATOS!$A:$A,'Cuadro 2-Bocas del Toro'!G$6,DATOS!$B:$B,"VAB_02",DATOS!$G:$G,"0311",DATOS!$C:$C,"00")</f>
        <v>2163.6723434028177</v>
      </c>
      <c r="H23" s="200">
        <f>SUMIFS(DATOS!$F:$F,DATOS!$D:$D,"VAB",DATOS!$A:$A,'Cuadro 2-Bocas del Toro'!H$6,DATOS!$B:$B,"VAB_02",DATOS!$G:$G,"0311",DATOS!$C:$C,"00")</f>
        <v>2201.8758429289378</v>
      </c>
      <c r="I23" s="201">
        <f>SUMIFS(DATOS!$F:$F,DATOS!$D:$D,"VAB",DATOS!$A:$A,'Cuadro 2-Bocas del Toro'!I$6,DATOS!$B:$B,"VAB_02",DATOS!$G:$G,"0311",DATOS!$C:$C,"00")</f>
        <v>2345.1883107738277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Toro'!C$6,DATOS!$B:$B,"IMP_02",DATOS!$G:$G,"0311",DATOS!$C:$C,"00")</f>
        <v>73.198953813742975</v>
      </c>
      <c r="D24" s="196">
        <f>SUMIFS(DATOS!$F:$F,DATOS!$D:$D,"IMP",DATOS!$A:$A,'Cuadro 2-Bocas del Toro'!D$6,DATOS!$B:$B,"IMP_02",DATOS!$G:$G,"0311",DATOS!$C:$C,"00")</f>
        <v>70.072509151165761</v>
      </c>
      <c r="E24" s="196">
        <f>SUMIFS(DATOS!$F:$F,DATOS!$D:$D,"IMP",DATOS!$A:$A,'Cuadro 2-Bocas del Toro'!E$6,DATOS!$B:$B,"IMP_02",DATOS!$G:$G,"0311",DATOS!$C:$C,"00")</f>
        <v>44.501743125864785</v>
      </c>
      <c r="F24" s="196">
        <f>SUMIFS(DATOS!$F:$F,DATOS!$D:$D,"IMP",DATOS!$A:$A,'Cuadro 2-Bocas del Toro'!F$6,DATOS!$B:$B,"IMP_02",DATOS!$G:$G,"0311",DATOS!$C:$C,"00")</f>
        <v>55.149499821073533</v>
      </c>
      <c r="G24" s="196">
        <f>SUMIFS(DATOS!$F:$F,DATOS!$D:$D,"IMP",DATOS!$A:$A,'Cuadro 2-Bocas del Toro'!G$6,DATOS!$B:$B,"IMP_02",DATOS!$G:$G,"0311",DATOS!$C:$C,"00")</f>
        <v>62.898893443271753</v>
      </c>
      <c r="H24" s="197">
        <f>SUMIFS(DATOS!$F:$F,DATOS!$D:$D,"IMP",DATOS!$A:$A,'Cuadro 2-Bocas del Toro'!H$6,DATOS!$B:$B,"IMP_02",DATOS!$G:$G,"0311",DATOS!$C:$C,"00")</f>
        <v>64.851985005518202</v>
      </c>
      <c r="I24" s="198">
        <f>SUMIFS(DATOS!$F:$F,DATOS!$D:$D,"IMP",DATOS!$A:$A,'Cuadro 2-Bocas del Toro'!I$6,DATOS!$B:$B,"IMP_02",DATOS!$G:$G,"0311",DATOS!$C:$C,"00")</f>
        <v>67.652877824442285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Toro'!C$6,DATOS!$B:$B,"PIB_02",DATOS!$G:$G,"0311",DATOS!$C:$C,"00")</f>
        <v>2195.2548687183262</v>
      </c>
      <c r="D25" s="199">
        <f>SUMIFS(DATOS!$F:$F,DATOS!$D:$D,"PIB",DATOS!$A:$A,'Cuadro 2-Bocas del Toro'!D$6,DATOS!$B:$B,"PIB_02",DATOS!$G:$G,"0311",DATOS!$C:$C,"00")</f>
        <v>2121.7615067266538</v>
      </c>
      <c r="E25" s="199">
        <f>SUMIFS(DATOS!$F:$F,DATOS!$D:$D,"PIB",DATOS!$A:$A,'Cuadro 2-Bocas del Toro'!E$6,DATOS!$B:$B,"PIB_02",DATOS!$G:$G,"0311",DATOS!$C:$C,"00")</f>
        <v>1692.5544613076092</v>
      </c>
      <c r="F25" s="199">
        <f>SUMIFS(DATOS!$F:$F,DATOS!$D:$D,"PIB",DATOS!$A:$A,'Cuadro 2-Bocas del Toro'!F$6,DATOS!$B:$B,"PIB_02",DATOS!$G:$G,"0311",DATOS!$C:$C,"00")</f>
        <v>2113.1895788965871</v>
      </c>
      <c r="G25" s="199">
        <f>SUMIFS(DATOS!$F:$F,DATOS!$D:$D,"PIB",DATOS!$A:$A,'Cuadro 2-Bocas del Toro'!G$6,DATOS!$B:$B,"PIB_02",DATOS!$G:$G,"0311",DATOS!$C:$C,"00")</f>
        <v>2227.297424237096</v>
      </c>
      <c r="H25" s="200">
        <f>SUMIFS(DATOS!$F:$F,DATOS!$D:$D,"PIB",DATOS!$A:$A,'Cuadro 2-Bocas del Toro'!H$6,DATOS!$B:$B,"PIB_02",DATOS!$G:$G,"0311",DATOS!$C:$C,"00")</f>
        <v>2267.4689604852797</v>
      </c>
      <c r="I25" s="201">
        <f>SUMIFS(DATOS!$F:$F,DATOS!$D:$D,"PIB",DATOS!$A:$A,'Cuadro 2-Bocas del Toro'!I$6,DATOS!$B:$B,"PIB_02",DATOS!$G:$G,"0311",DATOS!$C:$C,"00")</f>
        <v>2413.723220871163</v>
      </c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0.45" customHeight="1" thickBot="1">
      <c r="A27" s="192" t="s">
        <v>196</v>
      </c>
      <c r="B27" s="192"/>
      <c r="C27" s="192"/>
      <c r="D27" s="192"/>
      <c r="E27" s="192"/>
      <c r="F27" s="192"/>
      <c r="G27" s="192"/>
      <c r="H27" s="192"/>
      <c r="I27" s="192"/>
      <c r="J27" s="90"/>
      <c r="K27" s="75"/>
    </row>
    <row r="28" spans="1:16" ht="32.1" customHeight="1" thickTop="1">
      <c r="A28" s="217" t="s">
        <v>29</v>
      </c>
      <c r="B28" s="217" t="s">
        <v>30</v>
      </c>
      <c r="C28" s="217" t="s">
        <v>339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8.7647836542985793</v>
      </c>
      <c r="D30" s="19">
        <f t="shared" ref="D30:I30" si="0">IFERROR(D7/D$25*100,"")</f>
        <v>8.6753725071102785</v>
      </c>
      <c r="E30" s="19">
        <f t="shared" si="0"/>
        <v>11.005918971754213</v>
      </c>
      <c r="F30" s="19">
        <f t="shared" si="0"/>
        <v>9.5123940009835852</v>
      </c>
      <c r="G30" s="19">
        <f t="shared" si="0"/>
        <v>10.276008940341736</v>
      </c>
      <c r="H30" s="19">
        <f t="shared" si="0"/>
        <v>10.148581411508852</v>
      </c>
      <c r="I30" s="143">
        <f t="shared" si="0"/>
        <v>11.526885300251944</v>
      </c>
      <c r="J30" s="50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46" si="1">IFERROR(C8/C$25*100,"")</f>
        <v>1.4402684091538536</v>
      </c>
      <c r="D31" s="19">
        <f t="shared" si="1"/>
        <v>1.5521711963737004</v>
      </c>
      <c r="E31" s="19">
        <f t="shared" si="1"/>
        <v>1.0405333346986445</v>
      </c>
      <c r="F31" s="19">
        <f t="shared" si="1"/>
        <v>1.7011405857770434</v>
      </c>
      <c r="G31" s="19">
        <f t="shared" si="1"/>
        <v>1.563382074103854</v>
      </c>
      <c r="H31" s="19">
        <f t="shared" si="1"/>
        <v>1.763126194988508</v>
      </c>
      <c r="I31" s="106">
        <f t="shared" si="1"/>
        <v>2.5007753367542307</v>
      </c>
      <c r="J31" s="50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si="1"/>
        <v>16.417726388601832</v>
      </c>
      <c r="D32" s="19">
        <f t="shared" si="1"/>
        <v>13.557724677734321</v>
      </c>
      <c r="E32" s="19">
        <f t="shared" si="1"/>
        <v>14.118979188069162</v>
      </c>
      <c r="F32" s="19">
        <f t="shared" si="1"/>
        <v>12.868203985471643</v>
      </c>
      <c r="G32" s="19">
        <f t="shared" si="1"/>
        <v>13.837086572429508</v>
      </c>
      <c r="H32" s="19">
        <f t="shared" si="1"/>
        <v>13.006171750145048</v>
      </c>
      <c r="I32" s="106">
        <f t="shared" si="1"/>
        <v>12.705316663072876</v>
      </c>
      <c r="J32" s="50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si="1"/>
        <v>3.6349916364615003</v>
      </c>
      <c r="D33" s="19">
        <f t="shared" si="1"/>
        <v>4.6550562158239313</v>
      </c>
      <c r="E33" s="19">
        <f t="shared" si="1"/>
        <v>5.3458315051311294</v>
      </c>
      <c r="F33" s="19">
        <f t="shared" si="1"/>
        <v>5.155815361587841</v>
      </c>
      <c r="G33" s="19">
        <f t="shared" si="1"/>
        <v>5.2109964087804972</v>
      </c>
      <c r="H33" s="19">
        <f t="shared" si="1"/>
        <v>6.7232070217486077</v>
      </c>
      <c r="I33" s="106">
        <f t="shared" si="1"/>
        <v>5.3507885385706508</v>
      </c>
      <c r="J33" s="50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94</v>
      </c>
      <c r="C34" s="19">
        <f t="shared" si="1"/>
        <v>19.719636868139478</v>
      </c>
      <c r="D34" s="19">
        <f t="shared" si="1"/>
        <v>19.516428260121089</v>
      </c>
      <c r="E34" s="19">
        <f t="shared" si="1"/>
        <v>13.250582880912242</v>
      </c>
      <c r="F34" s="19">
        <f t="shared" si="1"/>
        <v>20.536226964528904</v>
      </c>
      <c r="G34" s="19">
        <f t="shared" si="1"/>
        <v>17.767116963588592</v>
      </c>
      <c r="H34" s="19">
        <f t="shared" si="1"/>
        <v>20.050943620687168</v>
      </c>
      <c r="I34" s="106">
        <f t="shared" si="1"/>
        <v>19.694521829514976</v>
      </c>
      <c r="J34" s="50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si="1"/>
        <v>7.7085064772723157</v>
      </c>
      <c r="D35" s="19">
        <f t="shared" si="1"/>
        <v>7.902079519003685</v>
      </c>
      <c r="E35" s="19">
        <f t="shared" si="1"/>
        <v>5.3744220460280072</v>
      </c>
      <c r="F35" s="19">
        <f t="shared" si="1"/>
        <v>7.5401375225364218</v>
      </c>
      <c r="G35" s="19">
        <f t="shared" si="1"/>
        <v>8.3452497613496455</v>
      </c>
      <c r="H35" s="19">
        <f t="shared" si="1"/>
        <v>5.5739787244174099</v>
      </c>
      <c r="I35" s="106">
        <f t="shared" si="1"/>
        <v>5.7240950132828514</v>
      </c>
      <c r="J35" s="50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si="1"/>
        <v>2.8747020379402533</v>
      </c>
      <c r="D36" s="19">
        <f t="shared" si="1"/>
        <v>2.4494951018179427</v>
      </c>
      <c r="E36" s="19">
        <f t="shared" si="1"/>
        <v>2.3761312631478049</v>
      </c>
      <c r="F36" s="19">
        <f t="shared" si="1"/>
        <v>2.8868667755295072</v>
      </c>
      <c r="G36" s="19">
        <f t="shared" si="1"/>
        <v>3.2252913890011747</v>
      </c>
      <c r="H36" s="19">
        <f t="shared" si="1"/>
        <v>3.6648771058378986</v>
      </c>
      <c r="I36" s="106">
        <f t="shared" si="1"/>
        <v>3.2029010937952891</v>
      </c>
      <c r="J36" s="50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si="1"/>
        <v>5.1767635517085839</v>
      </c>
      <c r="D37" s="19">
        <f t="shared" si="1"/>
        <v>4.7268287509154465</v>
      </c>
      <c r="E37" s="19">
        <f t="shared" si="1"/>
        <v>2.2279714960662442</v>
      </c>
      <c r="F37" s="19">
        <f t="shared" si="1"/>
        <v>2.6062299215386395</v>
      </c>
      <c r="G37" s="19">
        <f t="shared" si="1"/>
        <v>2.8716219481241914</v>
      </c>
      <c r="H37" s="19">
        <f t="shared" si="1"/>
        <v>2.9533076347109155</v>
      </c>
      <c r="I37" s="106">
        <f t="shared" si="1"/>
        <v>3.177785219248312</v>
      </c>
      <c r="J37" s="50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si="1"/>
        <v>4.5914694226237618</v>
      </c>
      <c r="D38" s="19">
        <f t="shared" si="1"/>
        <v>4.7257905492876864</v>
      </c>
      <c r="E38" s="19">
        <f t="shared" si="1"/>
        <v>5.9691347940601238</v>
      </c>
      <c r="F38" s="19">
        <f t="shared" si="1"/>
        <v>5.0334585284969222</v>
      </c>
      <c r="G38" s="19">
        <f t="shared" si="1"/>
        <v>4.6926921186013617</v>
      </c>
      <c r="H38" s="19">
        <f t="shared" si="1"/>
        <v>4.9155296910851716</v>
      </c>
      <c r="I38" s="106">
        <f t="shared" si="1"/>
        <v>4.8969165651385564</v>
      </c>
      <c r="J38" s="50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si="1"/>
        <v>2.3023782549423624</v>
      </c>
      <c r="D39" s="19">
        <f t="shared" si="1"/>
        <v>2.4267357062889197</v>
      </c>
      <c r="E39" s="19">
        <f t="shared" si="1"/>
        <v>2.9779885934171677</v>
      </c>
      <c r="F39" s="19">
        <f t="shared" si="1"/>
        <v>2.5890328456236635</v>
      </c>
      <c r="G39" s="19">
        <f t="shared" si="1"/>
        <v>2.610535808687223</v>
      </c>
      <c r="H39" s="19">
        <f t="shared" si="1"/>
        <v>2.5783779394234907</v>
      </c>
      <c r="I39" s="106">
        <f t="shared" si="1"/>
        <v>2.5966132610945292</v>
      </c>
      <c r="J39" s="50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95</v>
      </c>
      <c r="C40" s="19">
        <f t="shared" si="1"/>
        <v>6.7569234813089949</v>
      </c>
      <c r="D40" s="19">
        <f t="shared" si="1"/>
        <v>6.7406126640042405</v>
      </c>
      <c r="E40" s="19">
        <f t="shared" si="1"/>
        <v>8.9717590356438066</v>
      </c>
      <c r="F40" s="19">
        <f t="shared" si="1"/>
        <v>7.4121788847926844</v>
      </c>
      <c r="G40" s="19">
        <f t="shared" si="1"/>
        <v>8.5174277643040401</v>
      </c>
      <c r="H40" s="19">
        <f t="shared" si="1"/>
        <v>8.1447334074439688</v>
      </c>
      <c r="I40" s="106">
        <f t="shared" si="1"/>
        <v>8.1139384711234062</v>
      </c>
      <c r="J40" s="50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si="1"/>
        <v>0.16266828247122203</v>
      </c>
      <c r="D41" s="19">
        <f t="shared" si="1"/>
        <v>0.17208048417672481</v>
      </c>
      <c r="E41" s="19">
        <f t="shared" si="1"/>
        <v>0.16614959890149111</v>
      </c>
      <c r="F41" s="19">
        <f t="shared" si="1"/>
        <v>0.13050671167177127</v>
      </c>
      <c r="G41" s="19">
        <f t="shared" si="1"/>
        <v>0.16749188794171679</v>
      </c>
      <c r="H41" s="19">
        <f t="shared" si="1"/>
        <v>0.17857954334238496</v>
      </c>
      <c r="I41" s="106">
        <f t="shared" si="1"/>
        <v>0.18749107673595414</v>
      </c>
      <c r="J41" s="50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si="1"/>
        <v>1.4064000339626388E-2</v>
      </c>
      <c r="D42" s="19">
        <f t="shared" si="1"/>
        <v>1.4984560529832464E-2</v>
      </c>
      <c r="E42" s="19">
        <f t="shared" si="1"/>
        <v>2.8401112058409662E-2</v>
      </c>
      <c r="F42" s="19">
        <f t="shared" si="1"/>
        <v>2.161044812542583E-2</v>
      </c>
      <c r="G42" s="19">
        <f t="shared" si="1"/>
        <v>2.1088447713635897E-2</v>
      </c>
      <c r="H42" s="19">
        <f t="shared" si="1"/>
        <v>2.1342540358686032E-2</v>
      </c>
      <c r="I42" s="106">
        <f t="shared" si="1"/>
        <v>1.8880048889195054E-2</v>
      </c>
      <c r="J42" s="50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si="1"/>
        <v>0.10333165041094515</v>
      </c>
      <c r="D43" s="19">
        <f t="shared" si="1"/>
        <v>9.6029236472999394E-2</v>
      </c>
      <c r="E43" s="19">
        <f t="shared" si="1"/>
        <v>6.1555807230513085E-2</v>
      </c>
      <c r="F43" s="19">
        <f t="shared" si="1"/>
        <v>4.3831282065656466E-2</v>
      </c>
      <c r="G43" s="19">
        <f t="shared" si="1"/>
        <v>5.4609349910801359E-2</v>
      </c>
      <c r="H43" s="19">
        <f t="shared" si="1"/>
        <v>9.187731127465075E-2</v>
      </c>
      <c r="I43" s="106">
        <f t="shared" si="1"/>
        <v>0.10289908375482805</v>
      </c>
      <c r="J43" s="50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si="1"/>
        <v>1.1027264941940027</v>
      </c>
      <c r="D44" s="132">
        <f t="shared" si="1"/>
        <v>1.1821894667431736</v>
      </c>
      <c r="E44" s="132">
        <f t="shared" si="1"/>
        <v>1.1908157911655846</v>
      </c>
      <c r="F44" s="132">
        <f t="shared" si="1"/>
        <v>1.127817573238211</v>
      </c>
      <c r="G44" s="132">
        <f t="shared" si="1"/>
        <v>1.282708579272507</v>
      </c>
      <c r="H44" s="132">
        <f t="shared" si="1"/>
        <v>1.0525469748884231</v>
      </c>
      <c r="I44" s="117">
        <f t="shared" si="1"/>
        <v>1.2150387135548681</v>
      </c>
      <c r="J44" s="50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93</v>
      </c>
      <c r="C45" s="132">
        <f t="shared" si="1"/>
        <v>15.894642286369265</v>
      </c>
      <c r="D45" s="132">
        <f t="shared" si="1"/>
        <v>18.30385816572511</v>
      </c>
      <c r="E45" s="132">
        <f t="shared" si="1"/>
        <v>23.112854318328395</v>
      </c>
      <c r="F45" s="132">
        <f t="shared" si="1"/>
        <v>17.664102998123045</v>
      </c>
      <c r="G45" s="132">
        <f t="shared" si="1"/>
        <v>16.505747264487443</v>
      </c>
      <c r="H45" s="132">
        <f t="shared" si="1"/>
        <v>15.974708722351874</v>
      </c>
      <c r="I45" s="117">
        <f t="shared" si="1"/>
        <v>15.996851460728204</v>
      </c>
      <c r="J45" s="50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si="1"/>
        <v>96.665582896236586</v>
      </c>
      <c r="D46" s="144">
        <f t="shared" si="1"/>
        <v>96.697437062129083</v>
      </c>
      <c r="E46" s="144">
        <f t="shared" si="1"/>
        <v>97.335653798692874</v>
      </c>
      <c r="F46" s="144">
        <f t="shared" si="1"/>
        <v>97.354437519978404</v>
      </c>
      <c r="G46" s="144">
        <f t="shared" si="1"/>
        <v>97.143395392913391</v>
      </c>
      <c r="H46" s="144">
        <f t="shared" si="1"/>
        <v>97.107209902343982</v>
      </c>
      <c r="I46" s="129">
        <f t="shared" si="1"/>
        <v>97.160614377625294</v>
      </c>
      <c r="J46" s="93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8" si="2">IFERROR(C24/C$25*100,"")</f>
        <v>3.3344171037634149</v>
      </c>
      <c r="D47" s="132">
        <f t="shared" si="2"/>
        <v>3.3025629378709049</v>
      </c>
      <c r="E47" s="132">
        <f t="shared" si="2"/>
        <v>2.629265063145104</v>
      </c>
      <c r="F47" s="132">
        <f t="shared" si="2"/>
        <v>2.6097753070441572</v>
      </c>
      <c r="G47" s="132">
        <f t="shared" si="2"/>
        <v>2.8240006367724404</v>
      </c>
      <c r="H47" s="132">
        <f t="shared" si="2"/>
        <v>2.8601046424749601</v>
      </c>
      <c r="I47" s="117">
        <f t="shared" si="2"/>
        <v>2.8028432274030552</v>
      </c>
      <c r="J47" s="50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si="2"/>
        <v>100</v>
      </c>
      <c r="D48" s="144">
        <f t="shared" si="2"/>
        <v>100</v>
      </c>
      <c r="E48" s="144">
        <f t="shared" si="2"/>
        <v>100</v>
      </c>
      <c r="F48" s="144">
        <f t="shared" si="2"/>
        <v>100</v>
      </c>
      <c r="G48" s="144">
        <f t="shared" si="2"/>
        <v>100</v>
      </c>
      <c r="H48" s="144">
        <f t="shared" si="2"/>
        <v>100</v>
      </c>
      <c r="I48" s="129">
        <f t="shared" si="2"/>
        <v>100</v>
      </c>
      <c r="K48" s="50"/>
    </row>
    <row r="49" spans="1:11">
      <c r="A49" s="7"/>
      <c r="B49" s="32"/>
      <c r="C49" s="15"/>
      <c r="D49" s="15"/>
      <c r="E49" s="15"/>
      <c r="F49" s="15"/>
      <c r="G49" s="15"/>
    </row>
    <row r="50" spans="1:11" s="74" customFormat="1" ht="20.25" customHeight="1" thickBot="1">
      <c r="A50" s="190" t="s">
        <v>197</v>
      </c>
      <c r="B50" s="190"/>
      <c r="C50" s="190"/>
      <c r="D50" s="190"/>
      <c r="E50" s="190"/>
      <c r="F50" s="190"/>
      <c r="G50" s="190"/>
      <c r="H50" s="190"/>
      <c r="I50" s="190"/>
      <c r="J50" s="130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-4.3337945480098057</v>
      </c>
      <c r="E53" s="20">
        <f t="shared" ref="E53:I53" si="3">IFERROR(E7/D7*100-100,"")</f>
        <v>1.2008744303875005</v>
      </c>
      <c r="F53" s="20">
        <f t="shared" si="3"/>
        <v>7.9094124034219959</v>
      </c>
      <c r="G53" s="20">
        <f t="shared" si="3"/>
        <v>13.860843705502177</v>
      </c>
      <c r="H53" s="19">
        <f t="shared" si="3"/>
        <v>0.54118564311751527</v>
      </c>
      <c r="I53" s="143">
        <f t="shared" si="3"/>
        <v>20.907363076316571</v>
      </c>
    </row>
    <row r="54" spans="1:11" ht="32.25" customHeight="1">
      <c r="A54" s="56" t="s">
        <v>1</v>
      </c>
      <c r="B54" s="57" t="s">
        <v>31</v>
      </c>
      <c r="D54" s="20">
        <f t="shared" ref="D54:I69" si="4">IFERROR(D8/C8*100-100,"")</f>
        <v>4.1616383103981462</v>
      </c>
      <c r="E54" s="20">
        <f t="shared" si="4"/>
        <v>-46.52356299166054</v>
      </c>
      <c r="F54" s="20">
        <f t="shared" si="4"/>
        <v>104.11739477396736</v>
      </c>
      <c r="G54" s="20">
        <f t="shared" si="4"/>
        <v>-3.135492113480538</v>
      </c>
      <c r="H54" s="19">
        <f t="shared" si="4"/>
        <v>14.810446447948806</v>
      </c>
      <c r="I54" s="106">
        <f t="shared" si="4"/>
        <v>50.986249565556676</v>
      </c>
    </row>
    <row r="55" spans="1:11" ht="32.25" customHeight="1">
      <c r="A55" s="56" t="s">
        <v>2</v>
      </c>
      <c r="B55" s="57" t="s">
        <v>3</v>
      </c>
      <c r="D55" s="20">
        <f t="shared" si="4"/>
        <v>-20.184835373388523</v>
      </c>
      <c r="E55" s="20">
        <f t="shared" si="4"/>
        <v>-16.92648751390054</v>
      </c>
      <c r="F55" s="20">
        <f t="shared" si="4"/>
        <v>13.791663688310834</v>
      </c>
      <c r="G55" s="20">
        <f t="shared" si="4"/>
        <v>13.335633361724035</v>
      </c>
      <c r="H55" s="19">
        <f t="shared" si="4"/>
        <v>-4.3096898038050568</v>
      </c>
      <c r="I55" s="106">
        <f t="shared" si="4"/>
        <v>3.9877369420684943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4"/>
        <v>23.775055905284219</v>
      </c>
      <c r="E56" s="20">
        <f t="shared" si="4"/>
        <v>-8.3913629279632431</v>
      </c>
      <c r="F56" s="20">
        <f t="shared" si="4"/>
        <v>20.414253725266946</v>
      </c>
      <c r="G56" s="20">
        <f t="shared" si="4"/>
        <v>6.5278525210212308</v>
      </c>
      <c r="H56" s="19">
        <f t="shared" si="4"/>
        <v>31.346603343885278</v>
      </c>
      <c r="I56" s="106">
        <f t="shared" si="4"/>
        <v>-15.27971234943324</v>
      </c>
    </row>
    <row r="57" spans="1:11" ht="32.25" customHeight="1">
      <c r="A57" s="56" t="s">
        <v>4</v>
      </c>
      <c r="B57" s="57" t="s">
        <v>94</v>
      </c>
      <c r="D57" s="20">
        <f t="shared" si="4"/>
        <v>-4.34381782249433</v>
      </c>
      <c r="E57" s="20">
        <f t="shared" si="4"/>
        <v>-45.839741421652491</v>
      </c>
      <c r="F57" s="20">
        <f t="shared" si="4"/>
        <v>93.500227968789773</v>
      </c>
      <c r="G57" s="20">
        <f t="shared" si="4"/>
        <v>-8.812342277319928</v>
      </c>
      <c r="H57" s="19">
        <f t="shared" si="4"/>
        <v>14.889672200641186</v>
      </c>
      <c r="I57" s="106">
        <f t="shared" si="4"/>
        <v>4.5578737157525211</v>
      </c>
    </row>
    <row r="58" spans="1:11" ht="32.25" customHeight="1">
      <c r="A58" s="56" t="s">
        <v>5</v>
      </c>
      <c r="B58" s="57" t="s">
        <v>54</v>
      </c>
      <c r="D58" s="20">
        <f t="shared" si="4"/>
        <v>-0.9207361577344102</v>
      </c>
      <c r="E58" s="20">
        <f t="shared" si="4"/>
        <v>-45.745413477157811</v>
      </c>
      <c r="F58" s="20">
        <f t="shared" si="4"/>
        <v>75.163376173418328</v>
      </c>
      <c r="G58" s="20">
        <f t="shared" si="4"/>
        <v>16.654051440471022</v>
      </c>
      <c r="H58" s="19">
        <f t="shared" si="4"/>
        <v>-32.003101564036967</v>
      </c>
      <c r="I58" s="106">
        <f t="shared" si="4"/>
        <v>9.3169849652253021</v>
      </c>
    </row>
    <row r="59" spans="1:11" ht="32.25" customHeight="1">
      <c r="A59" s="56" t="s">
        <v>6</v>
      </c>
      <c r="B59" s="57" t="s">
        <v>55</v>
      </c>
      <c r="D59" s="20">
        <f t="shared" si="4"/>
        <v>-17.64397901729042</v>
      </c>
      <c r="E59" s="20">
        <f t="shared" si="4"/>
        <v>-22.618002028131116</v>
      </c>
      <c r="F59" s="20">
        <f t="shared" si="4"/>
        <v>51.688313339376322</v>
      </c>
      <c r="G59" s="20">
        <f t="shared" si="4"/>
        <v>17.75570835413987</v>
      </c>
      <c r="H59" s="19">
        <f t="shared" si="4"/>
        <v>15.678752062067659</v>
      </c>
      <c r="I59" s="106">
        <f t="shared" si="4"/>
        <v>-6.9684558360779505</v>
      </c>
    </row>
    <row r="60" spans="1:11" ht="32.25" customHeight="1">
      <c r="A60" s="56" t="s">
        <v>7</v>
      </c>
      <c r="B60" s="57" t="s">
        <v>32</v>
      </c>
      <c r="D60" s="20">
        <f t="shared" si="4"/>
        <v>-11.748284455015863</v>
      </c>
      <c r="E60" s="20">
        <f t="shared" si="4"/>
        <v>-62.40017292178576</v>
      </c>
      <c r="F60" s="20">
        <f t="shared" si="4"/>
        <v>46.049106585526488</v>
      </c>
      <c r="G60" s="20">
        <f t="shared" si="4"/>
        <v>16.132638187890151</v>
      </c>
      <c r="H60" s="19">
        <f t="shared" si="4"/>
        <v>4.699488491097668</v>
      </c>
      <c r="I60" s="106">
        <f t="shared" si="4"/>
        <v>14.541263741989141</v>
      </c>
    </row>
    <row r="61" spans="1:11" ht="32.25" customHeight="1">
      <c r="A61" s="56" t="s">
        <v>8</v>
      </c>
      <c r="B61" s="57" t="s">
        <v>56</v>
      </c>
      <c r="D61" s="20">
        <f t="shared" si="4"/>
        <v>-0.52031758801346939</v>
      </c>
      <c r="E61" s="20">
        <f t="shared" si="4"/>
        <v>0.75880368891290573</v>
      </c>
      <c r="F61" s="20">
        <f t="shared" si="4"/>
        <v>5.2812219640046436</v>
      </c>
      <c r="G61" s="20">
        <f t="shared" si="4"/>
        <v>-1.7358003049332922</v>
      </c>
      <c r="H61" s="19">
        <f t="shared" si="4"/>
        <v>6.6378543042924889</v>
      </c>
      <c r="I61" s="106">
        <f t="shared" si="4"/>
        <v>6.0470272206475641</v>
      </c>
    </row>
    <row r="62" spans="1:11" ht="32.25" customHeight="1">
      <c r="A62" s="56" t="s">
        <v>9</v>
      </c>
      <c r="B62" s="57" t="s">
        <v>57</v>
      </c>
      <c r="D62" s="20">
        <f t="shared" si="4"/>
        <v>1.8726075291362889</v>
      </c>
      <c r="E62" s="20">
        <f t="shared" si="4"/>
        <v>-2.1081276017940382</v>
      </c>
      <c r="F62" s="20">
        <f t="shared" si="4"/>
        <v>8.5451288780076879</v>
      </c>
      <c r="G62" s="20">
        <f t="shared" si="4"/>
        <v>6.2751799937323085</v>
      </c>
      <c r="H62" s="19">
        <f t="shared" si="4"/>
        <v>0.54953297685416658</v>
      </c>
      <c r="I62" s="106">
        <f t="shared" si="4"/>
        <v>7.2029686303898899</v>
      </c>
    </row>
    <row r="63" spans="1:11" ht="32.25" customHeight="1">
      <c r="A63" s="56" t="s">
        <v>70</v>
      </c>
      <c r="B63" s="57" t="s">
        <v>95</v>
      </c>
      <c r="D63" s="20">
        <f t="shared" si="4"/>
        <v>-3.5811408983337856</v>
      </c>
      <c r="E63" s="20">
        <f t="shared" si="4"/>
        <v>6.1754999208273347</v>
      </c>
      <c r="F63" s="20">
        <f t="shared" si="4"/>
        <v>3.1487809510185087</v>
      </c>
      <c r="G63" s="20">
        <f t="shared" si="4"/>
        <v>21.116223731600087</v>
      </c>
      <c r="H63" s="19">
        <f t="shared" si="4"/>
        <v>-2.6509875013957469</v>
      </c>
      <c r="I63" s="106">
        <f t="shared" si="4"/>
        <v>6.0476268645348625</v>
      </c>
    </row>
    <row r="64" spans="1:11" ht="32.25" customHeight="1">
      <c r="A64" s="56" t="s">
        <v>10</v>
      </c>
      <c r="B64" s="57" t="s">
        <v>58</v>
      </c>
      <c r="D64" s="20">
        <f t="shared" si="4"/>
        <v>2.2445941150803179</v>
      </c>
      <c r="E64" s="20">
        <f t="shared" si="4"/>
        <v>-22.978182311878641</v>
      </c>
      <c r="F64" s="20">
        <f t="shared" si="4"/>
        <v>-1.9315393645023278</v>
      </c>
      <c r="G64" s="20">
        <f t="shared" si="4"/>
        <v>35.269749367366074</v>
      </c>
      <c r="H64" s="19">
        <f t="shared" si="4"/>
        <v>8.5428113639300278</v>
      </c>
      <c r="I64" s="106">
        <f t="shared" si="4"/>
        <v>11.762218223063428</v>
      </c>
    </row>
    <row r="65" spans="1:9" ht="32.25" customHeight="1">
      <c r="A65" s="56" t="s">
        <v>59</v>
      </c>
      <c r="B65" s="57" t="s">
        <v>60</v>
      </c>
      <c r="D65" s="20">
        <f t="shared" si="4"/>
        <v>2.9785468860788313</v>
      </c>
      <c r="E65" s="20">
        <f t="shared" si="4"/>
        <v>51.194997005362097</v>
      </c>
      <c r="F65" s="20">
        <f t="shared" si="4"/>
        <v>-4.9998620786084729</v>
      </c>
      <c r="G65" s="20">
        <f t="shared" si="4"/>
        <v>2.8538600045107785</v>
      </c>
      <c r="H65" s="19">
        <f t="shared" si="4"/>
        <v>3.0302216204963486</v>
      </c>
      <c r="I65" s="106">
        <f t="shared" si="4"/>
        <v>-5.8320489288875734</v>
      </c>
    </row>
    <row r="66" spans="1:9" ht="32.25" customHeight="1">
      <c r="A66" s="56" t="s">
        <v>66</v>
      </c>
      <c r="B66" s="57" t="s">
        <v>67</v>
      </c>
      <c r="D66" s="20">
        <f t="shared" si="4"/>
        <v>-10.178205587570346</v>
      </c>
      <c r="E66" s="20">
        <f t="shared" si="4"/>
        <v>-48.865779380804796</v>
      </c>
      <c r="F66" s="20">
        <f t="shared" si="4"/>
        <v>-11.098118686460666</v>
      </c>
      <c r="G66" s="20">
        <f t="shared" si="4"/>
        <v>31.317494257043364</v>
      </c>
      <c r="H66" s="19">
        <f t="shared" si="4"/>
        <v>71.279113576055153</v>
      </c>
      <c r="I66" s="106">
        <f t="shared" si="4"/>
        <v>19.220063313938709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4"/>
        <v>3.6169712235935663</v>
      </c>
      <c r="E67" s="23">
        <f t="shared" si="4"/>
        <v>-19.646724417975094</v>
      </c>
      <c r="F67" s="24">
        <f t="shared" si="4"/>
        <v>18.246986232351773</v>
      </c>
      <c r="G67" s="24">
        <f t="shared" si="4"/>
        <v>19.875076318488723</v>
      </c>
      <c r="H67" s="132">
        <f t="shared" si="4"/>
        <v>-16.463432973203382</v>
      </c>
      <c r="I67" s="131">
        <f t="shared" si="4"/>
        <v>22.883832051437025</v>
      </c>
    </row>
    <row r="68" spans="1:9" ht="32.25" customHeight="1">
      <c r="A68" s="25"/>
      <c r="B68" s="78" t="s">
        <v>93</v>
      </c>
      <c r="C68" s="82"/>
      <c r="D68" s="24">
        <f t="shared" si="4"/>
        <v>11.30213639290605</v>
      </c>
      <c r="E68" s="24">
        <f t="shared" si="4"/>
        <v>0.72958062859092365</v>
      </c>
      <c r="F68" s="24">
        <f t="shared" si="4"/>
        <v>-4.5812297902351418</v>
      </c>
      <c r="G68" s="24">
        <f t="shared" si="4"/>
        <v>-1.5119912167942005</v>
      </c>
      <c r="H68" s="24">
        <f t="shared" si="4"/>
        <v>-1.4717218942628278</v>
      </c>
      <c r="I68" s="117">
        <f t="shared" si="4"/>
        <v>6.5976625989253534</v>
      </c>
    </row>
    <row r="69" spans="1:9" ht="32.25" customHeight="1">
      <c r="A69" s="34"/>
      <c r="B69" s="79" t="s">
        <v>33</v>
      </c>
      <c r="C69" s="82"/>
      <c r="D69" s="33">
        <f t="shared" si="4"/>
        <v>-3.3159784732750097</v>
      </c>
      <c r="E69" s="33">
        <f t="shared" si="4"/>
        <v>-19.702306111719025</v>
      </c>
      <c r="F69" s="33">
        <f t="shared" si="4"/>
        <v>24.876181421740213</v>
      </c>
      <c r="G69" s="88">
        <f t="shared" si="4"/>
        <v>5.1713095526997819</v>
      </c>
      <c r="H69" s="88">
        <f t="shared" si="4"/>
        <v>1.7656785992853798</v>
      </c>
      <c r="I69" s="129">
        <f t="shared" si="4"/>
        <v>6.5086534422511164</v>
      </c>
    </row>
    <row r="70" spans="1:9" ht="32.25" customHeight="1">
      <c r="A70" s="21" t="s">
        <v>25</v>
      </c>
      <c r="B70" s="80" t="s">
        <v>34</v>
      </c>
      <c r="C70" s="82"/>
      <c r="D70" s="24">
        <f t="shared" ref="D70:I71" si="5">IFERROR(D24/C24*100-100,"")</f>
        <v>-4.2711603099308633</v>
      </c>
      <c r="E70" s="24">
        <f t="shared" si="5"/>
        <v>-36.491865833058398</v>
      </c>
      <c r="F70" s="24">
        <f t="shared" si="5"/>
        <v>23.926605897421993</v>
      </c>
      <c r="G70" s="24">
        <f t="shared" si="5"/>
        <v>14.051611795828194</v>
      </c>
      <c r="H70" s="24">
        <f t="shared" si="5"/>
        <v>3.1051286522360471</v>
      </c>
      <c r="I70" s="117">
        <f t="shared" si="5"/>
        <v>4.3189006761870985</v>
      </c>
    </row>
    <row r="71" spans="1:9" ht="32.25" customHeight="1">
      <c r="A71" s="30"/>
      <c r="B71" s="81" t="s">
        <v>35</v>
      </c>
      <c r="C71" s="82"/>
      <c r="D71" s="31">
        <f t="shared" si="5"/>
        <v>-3.3478282198085196</v>
      </c>
      <c r="E71" s="31">
        <f t="shared" si="5"/>
        <v>-20.228807246164223</v>
      </c>
      <c r="F71" s="31">
        <f t="shared" si="5"/>
        <v>24.852087611054458</v>
      </c>
      <c r="G71" s="31">
        <f t="shared" si="5"/>
        <v>5.3997921663086572</v>
      </c>
      <c r="H71" s="31">
        <f t="shared" si="5"/>
        <v>1.8035999957187272</v>
      </c>
      <c r="I71" s="129">
        <f t="shared" si="5"/>
        <v>6.4501108034829429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>
      <c r="A86" s="18"/>
      <c r="B86" s="101"/>
      <c r="C86" s="10"/>
      <c r="D86" s="101"/>
      <c r="E86" s="101"/>
    </row>
    <row r="87" spans="1:8">
      <c r="A87" s="18"/>
      <c r="B87" s="101"/>
      <c r="C87" s="101"/>
      <c r="D87" s="101"/>
      <c r="E87" s="101"/>
    </row>
    <row r="88" spans="1:8">
      <c r="A88" s="61"/>
      <c r="B88" s="101"/>
      <c r="C88" s="101"/>
      <c r="D88" s="101"/>
      <c r="E88" s="101"/>
    </row>
    <row r="89" spans="1:8">
      <c r="A89" s="64"/>
      <c r="B89" s="45"/>
      <c r="C89" s="45"/>
      <c r="D89" s="101"/>
      <c r="E89" s="101"/>
    </row>
    <row r="90" spans="1:8">
      <c r="A90" s="64"/>
      <c r="B90" s="45"/>
      <c r="C90" s="45"/>
      <c r="D90" s="101"/>
      <c r="E90" s="101"/>
    </row>
    <row r="91" spans="1:8">
      <c r="A91" s="64"/>
      <c r="B91" s="45"/>
      <c r="C91" s="45"/>
      <c r="D91" s="101"/>
      <c r="E91" s="101"/>
    </row>
    <row r="92" spans="1:8">
      <c r="A92" s="64"/>
      <c r="B92" s="45"/>
      <c r="C92" s="45"/>
      <c r="D92" s="101"/>
      <c r="E92" s="101"/>
    </row>
    <row r="93" spans="1:8">
      <c r="A93" s="64"/>
      <c r="B93" s="45"/>
      <c r="C93" s="45"/>
      <c r="D93" s="101"/>
      <c r="E93" s="101"/>
    </row>
    <row r="94" spans="1:8">
      <c r="A94" s="91"/>
      <c r="B94" s="101"/>
      <c r="C94" s="59"/>
      <c r="D94" s="101"/>
      <c r="E94" s="101"/>
    </row>
    <row r="95" spans="1:8">
      <c r="A95" s="7"/>
      <c r="B95" s="101"/>
      <c r="C95" s="18"/>
      <c r="D95" s="101"/>
      <c r="E95" s="101"/>
    </row>
    <row r="96" spans="1:8">
      <c r="B96" s="101"/>
      <c r="C96" s="18"/>
      <c r="D96" s="101"/>
      <c r="E96" s="101"/>
    </row>
    <row r="97" spans="1:5">
      <c r="B97" s="101"/>
      <c r="C97" s="18"/>
      <c r="D97" s="101"/>
      <c r="E97" s="101"/>
    </row>
    <row r="98" spans="1:5">
      <c r="B98" s="101"/>
      <c r="C98" s="18"/>
      <c r="D98" s="101"/>
      <c r="E98" s="101"/>
    </row>
    <row r="99" spans="1:5">
      <c r="A99" s="61"/>
      <c r="B99" s="101"/>
      <c r="C99" s="101"/>
      <c r="D99" s="101"/>
      <c r="E99" s="101"/>
    </row>
    <row r="100" spans="1:5">
      <c r="A100" s="61"/>
      <c r="B100" s="101"/>
      <c r="C100" s="101"/>
      <c r="D100" s="101"/>
      <c r="E100" s="101"/>
    </row>
  </sheetData>
  <mergeCells count="9">
    <mergeCell ref="A73:E73"/>
    <mergeCell ref="A5:A6"/>
    <mergeCell ref="A28:A29"/>
    <mergeCell ref="A51:A52"/>
    <mergeCell ref="B5:B6"/>
    <mergeCell ref="C5:I5"/>
    <mergeCell ref="B28:B29"/>
    <mergeCell ref="C28:I28"/>
    <mergeCell ref="B51:C52"/>
  </mergeCells>
  <hyperlinks>
    <hyperlink ref="K2" location="Índice!A1" display="Índice"/>
    <hyperlink ref="K3" location="'Cuadro 2-Bocas del Toro'!A27" display="Composición "/>
    <hyperlink ref="K4" location="'Cuadro 3-Coclé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5" max="8" man="1"/>
    <brk id="4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P2"/>
  <sheetViews>
    <sheetView zoomScaleNormal="10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57" orientation="portrait" r:id="rId1"/>
  <colBreaks count="1" manualBreakCount="1">
    <brk id="14" max="5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P100"/>
  <sheetViews>
    <sheetView zoomScaleNormal="100" zoomScaleSheetLayoutView="53" workbookViewId="0"/>
  </sheetViews>
  <sheetFormatPr baseColWidth="10" defaultColWidth="11.5703125" defaultRowHeight="12.75"/>
  <cols>
    <col min="1" max="1" width="15.5703125" style="9" customWidth="1"/>
    <col min="2" max="2" width="70.7109375" style="9" customWidth="1"/>
    <col min="3" max="7" width="13.7109375" style="9" customWidth="1"/>
    <col min="8" max="9" width="13.7109375" style="86" customWidth="1"/>
    <col min="10" max="10" width="11.5703125" style="86"/>
    <col min="11" max="11" width="11.5703125" style="13"/>
    <col min="12" max="241" width="11.5703125" style="9"/>
    <col min="242" max="242" width="15.5703125" style="9" customWidth="1"/>
    <col min="243" max="243" width="70.140625" style="9" customWidth="1"/>
    <col min="244" max="247" width="13.7109375" style="9" customWidth="1"/>
    <col min="248" max="248" width="12.7109375" style="9" customWidth="1"/>
    <col min="249" max="497" width="11.5703125" style="9"/>
    <col min="498" max="498" width="15.5703125" style="9" customWidth="1"/>
    <col min="499" max="499" width="70.140625" style="9" customWidth="1"/>
    <col min="500" max="503" width="13.7109375" style="9" customWidth="1"/>
    <col min="504" max="504" width="12.7109375" style="9" customWidth="1"/>
    <col min="505" max="753" width="11.5703125" style="9"/>
    <col min="754" max="754" width="15.5703125" style="9" customWidth="1"/>
    <col min="755" max="755" width="70.140625" style="9" customWidth="1"/>
    <col min="756" max="759" width="13.7109375" style="9" customWidth="1"/>
    <col min="760" max="760" width="12.7109375" style="9" customWidth="1"/>
    <col min="761" max="1009" width="11.5703125" style="9"/>
    <col min="1010" max="1010" width="15.5703125" style="9" customWidth="1"/>
    <col min="1011" max="1011" width="70.140625" style="9" customWidth="1"/>
    <col min="1012" max="1015" width="13.7109375" style="9" customWidth="1"/>
    <col min="1016" max="1016" width="12.7109375" style="9" customWidth="1"/>
    <col min="1017" max="1265" width="11.5703125" style="9"/>
    <col min="1266" max="1266" width="15.5703125" style="9" customWidth="1"/>
    <col min="1267" max="1267" width="70.140625" style="9" customWidth="1"/>
    <col min="1268" max="1271" width="13.7109375" style="9" customWidth="1"/>
    <col min="1272" max="1272" width="12.7109375" style="9" customWidth="1"/>
    <col min="1273" max="1521" width="11.5703125" style="9"/>
    <col min="1522" max="1522" width="15.5703125" style="9" customWidth="1"/>
    <col min="1523" max="1523" width="70.140625" style="9" customWidth="1"/>
    <col min="1524" max="1527" width="13.7109375" style="9" customWidth="1"/>
    <col min="1528" max="1528" width="12.7109375" style="9" customWidth="1"/>
    <col min="1529" max="1777" width="11.5703125" style="9"/>
    <col min="1778" max="1778" width="15.5703125" style="9" customWidth="1"/>
    <col min="1779" max="1779" width="70.140625" style="9" customWidth="1"/>
    <col min="1780" max="1783" width="13.7109375" style="9" customWidth="1"/>
    <col min="1784" max="1784" width="12.7109375" style="9" customWidth="1"/>
    <col min="1785" max="2033" width="11.5703125" style="9"/>
    <col min="2034" max="2034" width="15.5703125" style="9" customWidth="1"/>
    <col min="2035" max="2035" width="70.140625" style="9" customWidth="1"/>
    <col min="2036" max="2039" width="13.7109375" style="9" customWidth="1"/>
    <col min="2040" max="2040" width="12.7109375" style="9" customWidth="1"/>
    <col min="2041" max="2289" width="11.5703125" style="9"/>
    <col min="2290" max="2290" width="15.5703125" style="9" customWidth="1"/>
    <col min="2291" max="2291" width="70.140625" style="9" customWidth="1"/>
    <col min="2292" max="2295" width="13.7109375" style="9" customWidth="1"/>
    <col min="2296" max="2296" width="12.7109375" style="9" customWidth="1"/>
    <col min="2297" max="2545" width="11.5703125" style="9"/>
    <col min="2546" max="2546" width="15.5703125" style="9" customWidth="1"/>
    <col min="2547" max="2547" width="70.140625" style="9" customWidth="1"/>
    <col min="2548" max="2551" width="13.7109375" style="9" customWidth="1"/>
    <col min="2552" max="2552" width="12.7109375" style="9" customWidth="1"/>
    <col min="2553" max="2801" width="11.5703125" style="9"/>
    <col min="2802" max="2802" width="15.5703125" style="9" customWidth="1"/>
    <col min="2803" max="2803" width="70.140625" style="9" customWidth="1"/>
    <col min="2804" max="2807" width="13.7109375" style="9" customWidth="1"/>
    <col min="2808" max="2808" width="12.7109375" style="9" customWidth="1"/>
    <col min="2809" max="3057" width="11.5703125" style="9"/>
    <col min="3058" max="3058" width="15.5703125" style="9" customWidth="1"/>
    <col min="3059" max="3059" width="70.140625" style="9" customWidth="1"/>
    <col min="3060" max="3063" width="13.7109375" style="9" customWidth="1"/>
    <col min="3064" max="3064" width="12.7109375" style="9" customWidth="1"/>
    <col min="3065" max="3313" width="11.5703125" style="9"/>
    <col min="3314" max="3314" width="15.5703125" style="9" customWidth="1"/>
    <col min="3315" max="3315" width="70.140625" style="9" customWidth="1"/>
    <col min="3316" max="3319" width="13.7109375" style="9" customWidth="1"/>
    <col min="3320" max="3320" width="12.7109375" style="9" customWidth="1"/>
    <col min="3321" max="3569" width="11.5703125" style="9"/>
    <col min="3570" max="3570" width="15.5703125" style="9" customWidth="1"/>
    <col min="3571" max="3571" width="70.140625" style="9" customWidth="1"/>
    <col min="3572" max="3575" width="13.7109375" style="9" customWidth="1"/>
    <col min="3576" max="3576" width="12.7109375" style="9" customWidth="1"/>
    <col min="3577" max="3825" width="11.5703125" style="9"/>
    <col min="3826" max="3826" width="15.5703125" style="9" customWidth="1"/>
    <col min="3827" max="3827" width="70.140625" style="9" customWidth="1"/>
    <col min="3828" max="3831" width="13.7109375" style="9" customWidth="1"/>
    <col min="3832" max="3832" width="12.7109375" style="9" customWidth="1"/>
    <col min="3833" max="4081" width="11.5703125" style="9"/>
    <col min="4082" max="4082" width="15.5703125" style="9" customWidth="1"/>
    <col min="4083" max="4083" width="70.140625" style="9" customWidth="1"/>
    <col min="4084" max="4087" width="13.7109375" style="9" customWidth="1"/>
    <col min="4088" max="4088" width="12.7109375" style="9" customWidth="1"/>
    <col min="4089" max="4337" width="11.5703125" style="9"/>
    <col min="4338" max="4338" width="15.5703125" style="9" customWidth="1"/>
    <col min="4339" max="4339" width="70.140625" style="9" customWidth="1"/>
    <col min="4340" max="4343" width="13.7109375" style="9" customWidth="1"/>
    <col min="4344" max="4344" width="12.7109375" style="9" customWidth="1"/>
    <col min="4345" max="4593" width="11.5703125" style="9"/>
    <col min="4594" max="4594" width="15.5703125" style="9" customWidth="1"/>
    <col min="4595" max="4595" width="70.140625" style="9" customWidth="1"/>
    <col min="4596" max="4599" width="13.7109375" style="9" customWidth="1"/>
    <col min="4600" max="4600" width="12.7109375" style="9" customWidth="1"/>
    <col min="4601" max="4849" width="11.5703125" style="9"/>
    <col min="4850" max="4850" width="15.5703125" style="9" customWidth="1"/>
    <col min="4851" max="4851" width="70.140625" style="9" customWidth="1"/>
    <col min="4852" max="4855" width="13.7109375" style="9" customWidth="1"/>
    <col min="4856" max="4856" width="12.7109375" style="9" customWidth="1"/>
    <col min="4857" max="5105" width="11.5703125" style="9"/>
    <col min="5106" max="5106" width="15.5703125" style="9" customWidth="1"/>
    <col min="5107" max="5107" width="70.140625" style="9" customWidth="1"/>
    <col min="5108" max="5111" width="13.7109375" style="9" customWidth="1"/>
    <col min="5112" max="5112" width="12.7109375" style="9" customWidth="1"/>
    <col min="5113" max="5361" width="11.5703125" style="9"/>
    <col min="5362" max="5362" width="15.5703125" style="9" customWidth="1"/>
    <col min="5363" max="5363" width="70.140625" style="9" customWidth="1"/>
    <col min="5364" max="5367" width="13.7109375" style="9" customWidth="1"/>
    <col min="5368" max="5368" width="12.7109375" style="9" customWidth="1"/>
    <col min="5369" max="5617" width="11.5703125" style="9"/>
    <col min="5618" max="5618" width="15.5703125" style="9" customWidth="1"/>
    <col min="5619" max="5619" width="70.140625" style="9" customWidth="1"/>
    <col min="5620" max="5623" width="13.7109375" style="9" customWidth="1"/>
    <col min="5624" max="5624" width="12.7109375" style="9" customWidth="1"/>
    <col min="5625" max="5873" width="11.5703125" style="9"/>
    <col min="5874" max="5874" width="15.5703125" style="9" customWidth="1"/>
    <col min="5875" max="5875" width="70.140625" style="9" customWidth="1"/>
    <col min="5876" max="5879" width="13.7109375" style="9" customWidth="1"/>
    <col min="5880" max="5880" width="12.7109375" style="9" customWidth="1"/>
    <col min="5881" max="6129" width="11.5703125" style="9"/>
    <col min="6130" max="6130" width="15.5703125" style="9" customWidth="1"/>
    <col min="6131" max="6131" width="70.140625" style="9" customWidth="1"/>
    <col min="6132" max="6135" width="13.7109375" style="9" customWidth="1"/>
    <col min="6136" max="6136" width="12.7109375" style="9" customWidth="1"/>
    <col min="6137" max="6385" width="11.5703125" style="9"/>
    <col min="6386" max="6386" width="15.5703125" style="9" customWidth="1"/>
    <col min="6387" max="6387" width="70.140625" style="9" customWidth="1"/>
    <col min="6388" max="6391" width="13.7109375" style="9" customWidth="1"/>
    <col min="6392" max="6392" width="12.7109375" style="9" customWidth="1"/>
    <col min="6393" max="6641" width="11.5703125" style="9"/>
    <col min="6642" max="6642" width="15.5703125" style="9" customWidth="1"/>
    <col min="6643" max="6643" width="70.140625" style="9" customWidth="1"/>
    <col min="6644" max="6647" width="13.7109375" style="9" customWidth="1"/>
    <col min="6648" max="6648" width="12.7109375" style="9" customWidth="1"/>
    <col min="6649" max="6897" width="11.5703125" style="9"/>
    <col min="6898" max="6898" width="15.5703125" style="9" customWidth="1"/>
    <col min="6899" max="6899" width="70.140625" style="9" customWidth="1"/>
    <col min="6900" max="6903" width="13.7109375" style="9" customWidth="1"/>
    <col min="6904" max="6904" width="12.7109375" style="9" customWidth="1"/>
    <col min="6905" max="7153" width="11.5703125" style="9"/>
    <col min="7154" max="7154" width="15.5703125" style="9" customWidth="1"/>
    <col min="7155" max="7155" width="70.140625" style="9" customWidth="1"/>
    <col min="7156" max="7159" width="13.7109375" style="9" customWidth="1"/>
    <col min="7160" max="7160" width="12.7109375" style="9" customWidth="1"/>
    <col min="7161" max="7409" width="11.5703125" style="9"/>
    <col min="7410" max="7410" width="15.5703125" style="9" customWidth="1"/>
    <col min="7411" max="7411" width="70.140625" style="9" customWidth="1"/>
    <col min="7412" max="7415" width="13.7109375" style="9" customWidth="1"/>
    <col min="7416" max="7416" width="12.7109375" style="9" customWidth="1"/>
    <col min="7417" max="7665" width="11.5703125" style="9"/>
    <col min="7666" max="7666" width="15.5703125" style="9" customWidth="1"/>
    <col min="7667" max="7667" width="70.140625" style="9" customWidth="1"/>
    <col min="7668" max="7671" width="13.7109375" style="9" customWidth="1"/>
    <col min="7672" max="7672" width="12.7109375" style="9" customWidth="1"/>
    <col min="7673" max="7921" width="11.5703125" style="9"/>
    <col min="7922" max="7922" width="15.5703125" style="9" customWidth="1"/>
    <col min="7923" max="7923" width="70.140625" style="9" customWidth="1"/>
    <col min="7924" max="7927" width="13.7109375" style="9" customWidth="1"/>
    <col min="7928" max="7928" width="12.7109375" style="9" customWidth="1"/>
    <col min="7929" max="8177" width="11.5703125" style="9"/>
    <col min="8178" max="8178" width="15.5703125" style="9" customWidth="1"/>
    <col min="8179" max="8179" width="70.140625" style="9" customWidth="1"/>
    <col min="8180" max="8183" width="13.7109375" style="9" customWidth="1"/>
    <col min="8184" max="8184" width="12.7109375" style="9" customWidth="1"/>
    <col min="8185" max="8433" width="11.5703125" style="9"/>
    <col min="8434" max="8434" width="15.5703125" style="9" customWidth="1"/>
    <col min="8435" max="8435" width="70.140625" style="9" customWidth="1"/>
    <col min="8436" max="8439" width="13.7109375" style="9" customWidth="1"/>
    <col min="8440" max="8440" width="12.7109375" style="9" customWidth="1"/>
    <col min="8441" max="8689" width="11.5703125" style="9"/>
    <col min="8690" max="8690" width="15.5703125" style="9" customWidth="1"/>
    <col min="8691" max="8691" width="70.140625" style="9" customWidth="1"/>
    <col min="8692" max="8695" width="13.7109375" style="9" customWidth="1"/>
    <col min="8696" max="8696" width="12.7109375" style="9" customWidth="1"/>
    <col min="8697" max="8945" width="11.5703125" style="9"/>
    <col min="8946" max="8946" width="15.5703125" style="9" customWidth="1"/>
    <col min="8947" max="8947" width="70.140625" style="9" customWidth="1"/>
    <col min="8948" max="8951" width="13.7109375" style="9" customWidth="1"/>
    <col min="8952" max="8952" width="12.7109375" style="9" customWidth="1"/>
    <col min="8953" max="9201" width="11.5703125" style="9"/>
    <col min="9202" max="9202" width="15.5703125" style="9" customWidth="1"/>
    <col min="9203" max="9203" width="70.140625" style="9" customWidth="1"/>
    <col min="9204" max="9207" width="13.7109375" style="9" customWidth="1"/>
    <col min="9208" max="9208" width="12.7109375" style="9" customWidth="1"/>
    <col min="9209" max="9457" width="11.5703125" style="9"/>
    <col min="9458" max="9458" width="15.5703125" style="9" customWidth="1"/>
    <col min="9459" max="9459" width="70.140625" style="9" customWidth="1"/>
    <col min="9460" max="9463" width="13.7109375" style="9" customWidth="1"/>
    <col min="9464" max="9464" width="12.7109375" style="9" customWidth="1"/>
    <col min="9465" max="9713" width="11.5703125" style="9"/>
    <col min="9714" max="9714" width="15.5703125" style="9" customWidth="1"/>
    <col min="9715" max="9715" width="70.140625" style="9" customWidth="1"/>
    <col min="9716" max="9719" width="13.7109375" style="9" customWidth="1"/>
    <col min="9720" max="9720" width="12.7109375" style="9" customWidth="1"/>
    <col min="9721" max="9969" width="11.5703125" style="9"/>
    <col min="9970" max="9970" width="15.5703125" style="9" customWidth="1"/>
    <col min="9971" max="9971" width="70.140625" style="9" customWidth="1"/>
    <col min="9972" max="9975" width="13.7109375" style="9" customWidth="1"/>
    <col min="9976" max="9976" width="12.7109375" style="9" customWidth="1"/>
    <col min="9977" max="10225" width="11.5703125" style="9"/>
    <col min="10226" max="10226" width="15.5703125" style="9" customWidth="1"/>
    <col min="10227" max="10227" width="70.140625" style="9" customWidth="1"/>
    <col min="10228" max="10231" width="13.7109375" style="9" customWidth="1"/>
    <col min="10232" max="10232" width="12.7109375" style="9" customWidth="1"/>
    <col min="10233" max="10481" width="11.5703125" style="9"/>
    <col min="10482" max="10482" width="15.5703125" style="9" customWidth="1"/>
    <col min="10483" max="10483" width="70.140625" style="9" customWidth="1"/>
    <col min="10484" max="10487" width="13.7109375" style="9" customWidth="1"/>
    <col min="10488" max="10488" width="12.7109375" style="9" customWidth="1"/>
    <col min="10489" max="10737" width="11.5703125" style="9"/>
    <col min="10738" max="10738" width="15.5703125" style="9" customWidth="1"/>
    <col min="10739" max="10739" width="70.140625" style="9" customWidth="1"/>
    <col min="10740" max="10743" width="13.7109375" style="9" customWidth="1"/>
    <col min="10744" max="10744" width="12.7109375" style="9" customWidth="1"/>
    <col min="10745" max="10993" width="11.5703125" style="9"/>
    <col min="10994" max="10994" width="15.5703125" style="9" customWidth="1"/>
    <col min="10995" max="10995" width="70.140625" style="9" customWidth="1"/>
    <col min="10996" max="10999" width="13.7109375" style="9" customWidth="1"/>
    <col min="11000" max="11000" width="12.7109375" style="9" customWidth="1"/>
    <col min="11001" max="11249" width="11.5703125" style="9"/>
    <col min="11250" max="11250" width="15.5703125" style="9" customWidth="1"/>
    <col min="11251" max="11251" width="70.140625" style="9" customWidth="1"/>
    <col min="11252" max="11255" width="13.7109375" style="9" customWidth="1"/>
    <col min="11256" max="11256" width="12.7109375" style="9" customWidth="1"/>
    <col min="11257" max="11505" width="11.5703125" style="9"/>
    <col min="11506" max="11506" width="15.5703125" style="9" customWidth="1"/>
    <col min="11507" max="11507" width="70.140625" style="9" customWidth="1"/>
    <col min="11508" max="11511" width="13.7109375" style="9" customWidth="1"/>
    <col min="11512" max="11512" width="12.7109375" style="9" customWidth="1"/>
    <col min="11513" max="11761" width="11.5703125" style="9"/>
    <col min="11762" max="11762" width="15.5703125" style="9" customWidth="1"/>
    <col min="11763" max="11763" width="70.140625" style="9" customWidth="1"/>
    <col min="11764" max="11767" width="13.7109375" style="9" customWidth="1"/>
    <col min="11768" max="11768" width="12.7109375" style="9" customWidth="1"/>
    <col min="11769" max="12017" width="11.5703125" style="9"/>
    <col min="12018" max="12018" width="15.5703125" style="9" customWidth="1"/>
    <col min="12019" max="12019" width="70.140625" style="9" customWidth="1"/>
    <col min="12020" max="12023" width="13.7109375" style="9" customWidth="1"/>
    <col min="12024" max="12024" width="12.7109375" style="9" customWidth="1"/>
    <col min="12025" max="12273" width="11.5703125" style="9"/>
    <col min="12274" max="12274" width="15.5703125" style="9" customWidth="1"/>
    <col min="12275" max="12275" width="70.140625" style="9" customWidth="1"/>
    <col min="12276" max="12279" width="13.7109375" style="9" customWidth="1"/>
    <col min="12280" max="12280" width="12.7109375" style="9" customWidth="1"/>
    <col min="12281" max="12529" width="11.5703125" style="9"/>
    <col min="12530" max="12530" width="15.5703125" style="9" customWidth="1"/>
    <col min="12531" max="12531" width="70.140625" style="9" customWidth="1"/>
    <col min="12532" max="12535" width="13.7109375" style="9" customWidth="1"/>
    <col min="12536" max="12536" width="12.7109375" style="9" customWidth="1"/>
    <col min="12537" max="12785" width="11.5703125" style="9"/>
    <col min="12786" max="12786" width="15.5703125" style="9" customWidth="1"/>
    <col min="12787" max="12787" width="70.140625" style="9" customWidth="1"/>
    <col min="12788" max="12791" width="13.7109375" style="9" customWidth="1"/>
    <col min="12792" max="12792" width="12.7109375" style="9" customWidth="1"/>
    <col min="12793" max="13041" width="11.5703125" style="9"/>
    <col min="13042" max="13042" width="15.5703125" style="9" customWidth="1"/>
    <col min="13043" max="13043" width="70.140625" style="9" customWidth="1"/>
    <col min="13044" max="13047" width="13.7109375" style="9" customWidth="1"/>
    <col min="13048" max="13048" width="12.7109375" style="9" customWidth="1"/>
    <col min="13049" max="13297" width="11.5703125" style="9"/>
    <col min="13298" max="13298" width="15.5703125" style="9" customWidth="1"/>
    <col min="13299" max="13299" width="70.140625" style="9" customWidth="1"/>
    <col min="13300" max="13303" width="13.7109375" style="9" customWidth="1"/>
    <col min="13304" max="13304" width="12.7109375" style="9" customWidth="1"/>
    <col min="13305" max="13553" width="11.5703125" style="9"/>
    <col min="13554" max="13554" width="15.5703125" style="9" customWidth="1"/>
    <col min="13555" max="13555" width="70.140625" style="9" customWidth="1"/>
    <col min="13556" max="13559" width="13.7109375" style="9" customWidth="1"/>
    <col min="13560" max="13560" width="12.7109375" style="9" customWidth="1"/>
    <col min="13561" max="13809" width="11.5703125" style="9"/>
    <col min="13810" max="13810" width="15.5703125" style="9" customWidth="1"/>
    <col min="13811" max="13811" width="70.140625" style="9" customWidth="1"/>
    <col min="13812" max="13815" width="13.7109375" style="9" customWidth="1"/>
    <col min="13816" max="13816" width="12.7109375" style="9" customWidth="1"/>
    <col min="13817" max="14065" width="11.5703125" style="9"/>
    <col min="14066" max="14066" width="15.5703125" style="9" customWidth="1"/>
    <col min="14067" max="14067" width="70.140625" style="9" customWidth="1"/>
    <col min="14068" max="14071" width="13.7109375" style="9" customWidth="1"/>
    <col min="14072" max="14072" width="12.7109375" style="9" customWidth="1"/>
    <col min="14073" max="14321" width="11.5703125" style="9"/>
    <col min="14322" max="14322" width="15.5703125" style="9" customWidth="1"/>
    <col min="14323" max="14323" width="70.140625" style="9" customWidth="1"/>
    <col min="14324" max="14327" width="13.7109375" style="9" customWidth="1"/>
    <col min="14328" max="14328" width="12.7109375" style="9" customWidth="1"/>
    <col min="14329" max="14577" width="11.5703125" style="9"/>
    <col min="14578" max="14578" width="15.5703125" style="9" customWidth="1"/>
    <col min="14579" max="14579" width="70.140625" style="9" customWidth="1"/>
    <col min="14580" max="14583" width="13.7109375" style="9" customWidth="1"/>
    <col min="14584" max="14584" width="12.7109375" style="9" customWidth="1"/>
    <col min="14585" max="14833" width="11.5703125" style="9"/>
    <col min="14834" max="14834" width="15.5703125" style="9" customWidth="1"/>
    <col min="14835" max="14835" width="70.140625" style="9" customWidth="1"/>
    <col min="14836" max="14839" width="13.7109375" style="9" customWidth="1"/>
    <col min="14840" max="14840" width="12.7109375" style="9" customWidth="1"/>
    <col min="14841" max="15089" width="11.5703125" style="9"/>
    <col min="15090" max="15090" width="15.5703125" style="9" customWidth="1"/>
    <col min="15091" max="15091" width="70.140625" style="9" customWidth="1"/>
    <col min="15092" max="15095" width="13.7109375" style="9" customWidth="1"/>
    <col min="15096" max="15096" width="12.7109375" style="9" customWidth="1"/>
    <col min="15097" max="15345" width="11.5703125" style="9"/>
    <col min="15346" max="15346" width="15.5703125" style="9" customWidth="1"/>
    <col min="15347" max="15347" width="70.140625" style="9" customWidth="1"/>
    <col min="15348" max="15351" width="13.7109375" style="9" customWidth="1"/>
    <col min="15352" max="15352" width="12.7109375" style="9" customWidth="1"/>
    <col min="15353" max="15601" width="11.5703125" style="9"/>
    <col min="15602" max="15602" width="15.5703125" style="9" customWidth="1"/>
    <col min="15603" max="15603" width="70.140625" style="9" customWidth="1"/>
    <col min="15604" max="15607" width="13.7109375" style="9" customWidth="1"/>
    <col min="15608" max="15608" width="12.7109375" style="9" customWidth="1"/>
    <col min="15609" max="15857" width="11.5703125" style="9"/>
    <col min="15858" max="15858" width="15.5703125" style="9" customWidth="1"/>
    <col min="15859" max="15859" width="70.140625" style="9" customWidth="1"/>
    <col min="15860" max="15863" width="13.7109375" style="9" customWidth="1"/>
    <col min="15864" max="15864" width="12.7109375" style="9" customWidth="1"/>
    <col min="15865" max="16113" width="11.5703125" style="9"/>
    <col min="16114" max="16114" width="15.5703125" style="9" customWidth="1"/>
    <col min="16115" max="16115" width="70.140625" style="9" customWidth="1"/>
    <col min="16116" max="16119" width="13.7109375" style="9" customWidth="1"/>
    <col min="16120" max="16120" width="12.7109375" style="9" customWidth="1"/>
    <col min="16121" max="16384" width="11.5703125" style="9"/>
  </cols>
  <sheetData>
    <row r="1" spans="1:12" ht="17.25" customHeight="1">
      <c r="A1" s="183" t="s">
        <v>161</v>
      </c>
      <c r="B1" s="169"/>
      <c r="C1" s="169"/>
      <c r="D1" s="169"/>
      <c r="E1" s="169"/>
      <c r="F1" s="169"/>
      <c r="G1" s="169"/>
      <c r="H1" s="169"/>
      <c r="I1" s="169"/>
      <c r="K1" s="114"/>
      <c r="L1" s="114"/>
    </row>
    <row r="2" spans="1:12" ht="17.25" customHeight="1">
      <c r="A2" s="184" t="s">
        <v>162</v>
      </c>
      <c r="B2" s="170"/>
      <c r="C2" s="170"/>
      <c r="D2" s="170"/>
      <c r="E2" s="170"/>
      <c r="F2" s="170"/>
      <c r="G2" s="170"/>
      <c r="H2" s="170"/>
      <c r="I2" s="170"/>
      <c r="K2" s="193" t="s">
        <v>42</v>
      </c>
      <c r="L2" s="114"/>
    </row>
    <row r="3" spans="1:12" ht="17.25" customHeight="1">
      <c r="A3" s="185" t="s">
        <v>344</v>
      </c>
      <c r="B3" s="169"/>
      <c r="C3" s="169"/>
      <c r="D3" s="169"/>
      <c r="E3" s="169"/>
      <c r="F3" s="169"/>
      <c r="G3" s="169"/>
      <c r="H3" s="169"/>
      <c r="I3" s="169"/>
      <c r="K3" s="193" t="s">
        <v>100</v>
      </c>
      <c r="L3" s="114"/>
    </row>
    <row r="4" spans="1:12" s="101" customFormat="1" ht="17.25" customHeight="1" thickBot="1">
      <c r="A4" s="185" t="s">
        <v>155</v>
      </c>
      <c r="B4" s="171"/>
      <c r="C4" s="171"/>
      <c r="D4" s="171"/>
      <c r="E4" s="171"/>
      <c r="F4" s="171"/>
      <c r="G4" s="171"/>
      <c r="H4" s="171"/>
      <c r="I4" s="171"/>
      <c r="J4" s="89"/>
      <c r="K4" s="193" t="s">
        <v>101</v>
      </c>
      <c r="L4" s="114"/>
    </row>
    <row r="5" spans="1:12" ht="32.25" customHeight="1" thickTop="1">
      <c r="A5" s="217" t="s">
        <v>29</v>
      </c>
      <c r="B5" s="217" t="s">
        <v>30</v>
      </c>
      <c r="C5" s="217" t="s">
        <v>150</v>
      </c>
      <c r="D5" s="217"/>
      <c r="E5" s="217"/>
      <c r="F5" s="217"/>
      <c r="G5" s="217"/>
      <c r="H5" s="217"/>
      <c r="I5" s="219"/>
      <c r="K5" s="114"/>
      <c r="L5" s="114"/>
    </row>
    <row r="6" spans="1:12" ht="32.25" customHeight="1" thickBot="1">
      <c r="A6" s="218"/>
      <c r="B6" s="218"/>
      <c r="C6" s="119">
        <v>2018</v>
      </c>
      <c r="D6" s="119">
        <v>2019</v>
      </c>
      <c r="E6" s="119">
        <v>2020</v>
      </c>
      <c r="F6" s="119">
        <v>2021</v>
      </c>
      <c r="G6" s="119">
        <v>2022</v>
      </c>
      <c r="H6" s="119" t="s">
        <v>185</v>
      </c>
      <c r="I6" s="120" t="s">
        <v>107</v>
      </c>
      <c r="K6" s="109"/>
    </row>
    <row r="7" spans="1:12" ht="32.25" customHeight="1" thickTop="1">
      <c r="A7" s="56" t="s">
        <v>0</v>
      </c>
      <c r="B7" s="60" t="s">
        <v>53</v>
      </c>
      <c r="C7" s="194">
        <f>SUMIFS(DATOS!$F:$F,DATOS!$D:$D,$A7,DATOS!$A:$A,'Cuadro 2-Bocas del Toro'!C$6,DATOS!$B:$B,"B100101_03",DATOS!$G:$G,"0311",DATOS!$C:$C,"00")</f>
        <v>42.342861767637004</v>
      </c>
      <c r="D7" s="194">
        <f>SUMIFS(DATOS!$F:$F,DATOS!$D:$D,$A7,DATOS!$A:$A,'Cuadro 2-Bocas del Toro'!D$6,DATOS!$B:$B,"B100101_03",DATOS!$G:$G,"0311",DATOS!$C:$C,"00")</f>
        <v>43.841206019055889</v>
      </c>
      <c r="E7" s="194">
        <f>SUMIFS(DATOS!$F:$F,DATOS!$D:$D,$A7,DATOS!$A:$A,'Cuadro 2-Bocas del Toro'!E$6,DATOS!$B:$B,"B100101_03",DATOS!$G:$G,"0311",DATOS!$C:$C,"00")</f>
        <v>50.268132667352177</v>
      </c>
      <c r="F7" s="194">
        <f>SUMIFS(DATOS!$F:$F,DATOS!$D:$D,$A7,DATOS!$A:$A,'Cuadro 2-Bocas del Toro'!F$6,DATOS!$B:$B,"B100101_03",DATOS!$G:$G,"0311",DATOS!$C:$C,"00")</f>
        <v>50.876794591286497</v>
      </c>
      <c r="G7" s="194">
        <f>SUMIFS(DATOS!$F:$F,DATOS!$D:$D,$A7,DATOS!$A:$A,'Cuadro 2-Bocas del Toro'!G$6,DATOS!$B:$B,"B100101_03",DATOS!$G:$G,"0311",DATOS!$C:$C,"00")</f>
        <v>47.017742997917011</v>
      </c>
      <c r="H7" s="194">
        <f>SUMIFS(DATOS!$F:$F,DATOS!$D:$D,$A7,DATOS!$A:$A,'Cuadro 2-Bocas del Toro'!H$6,DATOS!$B:$B,"B100101_03",DATOS!$G:$G,"0311",DATOS!$C:$C,"00")</f>
        <v>47.137879687423613</v>
      </c>
      <c r="I7" s="195">
        <f>SUMIFS(DATOS!$F:$F,DATOS!$D:$D,$A7,DATOS!$A:$A,'Cuadro 2-Bocas del Toro'!I$6,DATOS!$B:$B,"B100101_03",DATOS!$G:$G,"0311",DATOS!$C:$C,"00")</f>
        <v>50.696898863067652</v>
      </c>
      <c r="K7" s="9"/>
    </row>
    <row r="8" spans="1:12" ht="32.25" customHeight="1">
      <c r="A8" s="56" t="s">
        <v>1</v>
      </c>
      <c r="B8" s="60" t="s">
        <v>31</v>
      </c>
      <c r="C8" s="194">
        <f>SUMIFS(DATOS!$F:$F,DATOS!$D:$D,$A8,DATOS!$A:$A,'Cuadro 2-Bocas del Toro'!C$6,DATOS!$B:$B,"B100101_03",DATOS!$G:$G,"0311",DATOS!$C:$C,"00")</f>
        <v>243.98619539473171</v>
      </c>
      <c r="D8" s="194">
        <f>SUMIFS(DATOS!$F:$F,DATOS!$D:$D,$A8,DATOS!$A:$A,'Cuadro 2-Bocas del Toro'!D$6,DATOS!$B:$B,"B100101_03",DATOS!$G:$G,"0311",DATOS!$C:$C,"00")</f>
        <v>383.99042853104868</v>
      </c>
      <c r="E8" s="194">
        <f>SUMIFS(DATOS!$F:$F,DATOS!$D:$D,$A8,DATOS!$A:$A,'Cuadro 2-Bocas del Toro'!E$6,DATOS!$B:$B,"B100101_03",DATOS!$G:$G,"0311",DATOS!$C:$C,"00")</f>
        <v>1013.0080393342901</v>
      </c>
      <c r="F8" s="194">
        <f>SUMIFS(DATOS!$F:$F,DATOS!$D:$D,$A8,DATOS!$A:$A,'Cuadro 2-Bocas del Toro'!F$6,DATOS!$B:$B,"B100101_03",DATOS!$G:$G,"0311",DATOS!$C:$C,"00")</f>
        <v>2252.4319814984028</v>
      </c>
      <c r="G8" s="194">
        <f>SUMIFS(DATOS!$F:$F,DATOS!$D:$D,$A8,DATOS!$A:$A,'Cuadro 2-Bocas del Toro'!G$6,DATOS!$B:$B,"B100101_03",DATOS!$G:$G,"0311",DATOS!$C:$C,"00")</f>
        <v>2309.7825885834109</v>
      </c>
      <c r="H8" s="194">
        <f>SUMIFS(DATOS!$F:$F,DATOS!$D:$D,$A8,DATOS!$A:$A,'Cuadro 2-Bocas del Toro'!H$6,DATOS!$B:$B,"B100101_03",DATOS!$G:$G,"0311",DATOS!$C:$C,"00")</f>
        <v>1911.3560579031143</v>
      </c>
      <c r="I8" s="195">
        <f>SUMIFS(DATOS!$F:$F,DATOS!$D:$D,$A8,DATOS!$A:$A,'Cuadro 2-Bocas del Toro'!I$6,DATOS!$B:$B,"B100101_03",DATOS!$G:$G,"0311",DATOS!$C:$C,"00")</f>
        <v>30.447173098516402</v>
      </c>
      <c r="K8" s="9"/>
    </row>
    <row r="9" spans="1:12" ht="32.25" customHeight="1">
      <c r="A9" s="56" t="s">
        <v>2</v>
      </c>
      <c r="B9" s="60" t="s">
        <v>3</v>
      </c>
      <c r="C9" s="194">
        <f>SUMIFS(DATOS!$F:$F,DATOS!$D:$D,$A9,DATOS!$A:$A,'Cuadro 2-Bocas del Toro'!C$6,DATOS!$B:$B,"B100101_03",DATOS!$G:$G,"0311",DATOS!$C:$C,"00")</f>
        <v>94.687532116390855</v>
      </c>
      <c r="D9" s="194">
        <f>SUMIFS(DATOS!$F:$F,DATOS!$D:$D,$A9,DATOS!$A:$A,'Cuadro 2-Bocas del Toro'!D$6,DATOS!$B:$B,"B100101_03",DATOS!$G:$G,"0311",DATOS!$C:$C,"00")</f>
        <v>84.597687005013483</v>
      </c>
      <c r="E9" s="194">
        <f>SUMIFS(DATOS!$F:$F,DATOS!$D:$D,$A9,DATOS!$A:$A,'Cuadro 2-Bocas del Toro'!E$6,DATOS!$B:$B,"B100101_03",DATOS!$G:$G,"0311",DATOS!$C:$C,"00")</f>
        <v>68.632834137382474</v>
      </c>
      <c r="F9" s="194">
        <f>SUMIFS(DATOS!$F:$F,DATOS!$D:$D,$A9,DATOS!$A:$A,'Cuadro 2-Bocas del Toro'!F$6,DATOS!$B:$B,"B100101_03",DATOS!$G:$G,"0311",DATOS!$C:$C,"00")</f>
        <v>78.010428606125345</v>
      </c>
      <c r="G9" s="194">
        <f>SUMIFS(DATOS!$F:$F,DATOS!$D:$D,$A9,DATOS!$A:$A,'Cuadro 2-Bocas del Toro'!G$6,DATOS!$B:$B,"B100101_03",DATOS!$G:$G,"0311",DATOS!$C:$C,"00")</f>
        <v>88.76184595230572</v>
      </c>
      <c r="H9" s="194">
        <f>SUMIFS(DATOS!$F:$F,DATOS!$D:$D,$A9,DATOS!$A:$A,'Cuadro 2-Bocas del Toro'!H$6,DATOS!$B:$B,"B100101_03",DATOS!$G:$G,"0311",DATOS!$C:$C,"00")</f>
        <v>81.064248876212474</v>
      </c>
      <c r="I9" s="195">
        <f>SUMIFS(DATOS!$F:$F,DATOS!$D:$D,$A9,DATOS!$A:$A,'Cuadro 2-Bocas del Toro'!I$6,DATOS!$B:$B,"B100101_03",DATOS!$G:$G,"0311",DATOS!$C:$C,"00")</f>
        <v>75.478972149405706</v>
      </c>
    </row>
    <row r="10" spans="1:12" ht="32.25" customHeight="1">
      <c r="A10" s="56" t="s">
        <v>68</v>
      </c>
      <c r="B10" s="60" t="s">
        <v>69</v>
      </c>
      <c r="C10" s="194">
        <f>SUMIFS(DATOS!$F:$F,DATOS!$D:$D,$A10,DATOS!$A:$A,'Cuadro 2-Bocas del Toro'!C$6,DATOS!$B:$B,"B100101_03",DATOS!$G:$G,"0311",DATOS!$C:$C,"00")</f>
        <v>144.64234870097391</v>
      </c>
      <c r="D10" s="194">
        <f>SUMIFS(DATOS!$F:$F,DATOS!$D:$D,$A10,DATOS!$A:$A,'Cuadro 2-Bocas del Toro'!D$6,DATOS!$B:$B,"B100101_03",DATOS!$G:$G,"0311",DATOS!$C:$C,"00")</f>
        <v>320.45349693751444</v>
      </c>
      <c r="E10" s="194">
        <f>SUMIFS(DATOS!$F:$F,DATOS!$D:$D,$A10,DATOS!$A:$A,'Cuadro 2-Bocas del Toro'!E$6,DATOS!$B:$B,"B100101_03",DATOS!$G:$G,"0311",DATOS!$C:$C,"00")</f>
        <v>174.3801369185741</v>
      </c>
      <c r="F10" s="194">
        <f>SUMIFS(DATOS!$F:$F,DATOS!$D:$D,$A10,DATOS!$A:$A,'Cuadro 2-Bocas del Toro'!F$6,DATOS!$B:$B,"B100101_03",DATOS!$G:$G,"0311",DATOS!$C:$C,"00")</f>
        <v>191.66475661678226</v>
      </c>
      <c r="G10" s="194">
        <f>SUMIFS(DATOS!$F:$F,DATOS!$D:$D,$A10,DATOS!$A:$A,'Cuadro 2-Bocas del Toro'!G$6,DATOS!$B:$B,"B100101_03",DATOS!$G:$G,"0311",DATOS!$C:$C,"00")</f>
        <v>191.14475246675656</v>
      </c>
      <c r="H10" s="194">
        <f>SUMIFS(DATOS!$F:$F,DATOS!$D:$D,$A10,DATOS!$A:$A,'Cuadro 2-Bocas del Toro'!H$6,DATOS!$B:$B,"B100101_03",DATOS!$G:$G,"0311",DATOS!$C:$C,"00")</f>
        <v>304.03128648956363</v>
      </c>
      <c r="I10" s="195">
        <f>SUMIFS(DATOS!$F:$F,DATOS!$D:$D,$A10,DATOS!$A:$A,'Cuadro 2-Bocas del Toro'!I$6,DATOS!$B:$B,"B100101_03",DATOS!$G:$G,"0311",DATOS!$C:$C,"00")</f>
        <v>274.90787971652202</v>
      </c>
    </row>
    <row r="11" spans="1:12" ht="32.25" customHeight="1">
      <c r="A11" s="56" t="s">
        <v>4</v>
      </c>
      <c r="B11" s="60" t="s">
        <v>94</v>
      </c>
      <c r="C11" s="194">
        <f>SUMIFS(DATOS!$F:$F,DATOS!$D:$D,$A11,DATOS!$A:$A,'Cuadro 2-Bocas del Toro'!C$6,DATOS!$B:$B,"B100101_03",DATOS!$G:$G,"0311",DATOS!$C:$C,"00")</f>
        <v>3319.4490808176965</v>
      </c>
      <c r="D11" s="194">
        <f>SUMIFS(DATOS!$F:$F,DATOS!$D:$D,$A11,DATOS!$A:$A,'Cuadro 2-Bocas del Toro'!D$6,DATOS!$B:$B,"B100101_03",DATOS!$G:$G,"0311",DATOS!$C:$C,"00")</f>
        <v>2879.1386898913943</v>
      </c>
      <c r="E11" s="194">
        <f>SUMIFS(DATOS!$F:$F,DATOS!$D:$D,$A11,DATOS!$A:$A,'Cuadro 2-Bocas del Toro'!E$6,DATOS!$B:$B,"B100101_03",DATOS!$G:$G,"0311",DATOS!$C:$C,"00")</f>
        <v>1210.3521639423345</v>
      </c>
      <c r="F11" s="194">
        <f>SUMIFS(DATOS!$F:$F,DATOS!$D:$D,$A11,DATOS!$A:$A,'Cuadro 2-Bocas del Toro'!F$6,DATOS!$B:$B,"B100101_03",DATOS!$G:$G,"0311",DATOS!$C:$C,"00")</f>
        <v>1351.2963194404667</v>
      </c>
      <c r="G11" s="194">
        <f>SUMIFS(DATOS!$F:$F,DATOS!$D:$D,$A11,DATOS!$A:$A,'Cuadro 2-Bocas del Toro'!G$6,DATOS!$B:$B,"B100101_03",DATOS!$G:$G,"0311",DATOS!$C:$C,"00")</f>
        <v>2463.8736161904517</v>
      </c>
      <c r="H11" s="194">
        <f>SUMIFS(DATOS!$F:$F,DATOS!$D:$D,$A11,DATOS!$A:$A,'Cuadro 2-Bocas del Toro'!H$6,DATOS!$B:$B,"B100101_03",DATOS!$G:$G,"0311",DATOS!$C:$C,"00")</f>
        <v>1739.9989069222534</v>
      </c>
      <c r="I11" s="195">
        <f>SUMIFS(DATOS!$F:$F,DATOS!$D:$D,$A11,DATOS!$A:$A,'Cuadro 2-Bocas del Toro'!I$6,DATOS!$B:$B,"B100101_03",DATOS!$G:$G,"0311",DATOS!$C:$C,"00")</f>
        <v>296.80389649353043</v>
      </c>
    </row>
    <row r="12" spans="1:12" ht="32.25" customHeight="1">
      <c r="A12" s="56" t="s">
        <v>5</v>
      </c>
      <c r="B12" s="60" t="s">
        <v>54</v>
      </c>
      <c r="C12" s="194">
        <f>SUMIFS(DATOS!$F:$F,DATOS!$D:$D,$A12,DATOS!$A:$A,'Cuadro 2-Bocas del Toro'!C$6,DATOS!$B:$B,"B100101_03",DATOS!$G:$G,"0311",DATOS!$C:$C,"00")</f>
        <v>3771.6943344221145</v>
      </c>
      <c r="D12" s="194">
        <f>SUMIFS(DATOS!$F:$F,DATOS!$D:$D,$A12,DATOS!$A:$A,'Cuadro 2-Bocas del Toro'!D$6,DATOS!$B:$B,"B100101_03",DATOS!$G:$G,"0311",DATOS!$C:$C,"00")</f>
        <v>3815.219184459696</v>
      </c>
      <c r="E12" s="194">
        <f>SUMIFS(DATOS!$F:$F,DATOS!$D:$D,$A12,DATOS!$A:$A,'Cuadro 2-Bocas del Toro'!E$6,DATOS!$B:$B,"B100101_03",DATOS!$G:$G,"0311",DATOS!$C:$C,"00")</f>
        <v>3623.14979212654</v>
      </c>
      <c r="F12" s="194">
        <f>SUMIFS(DATOS!$F:$F,DATOS!$D:$D,$A12,DATOS!$A:$A,'Cuadro 2-Bocas del Toro'!F$6,DATOS!$B:$B,"B100101_03",DATOS!$G:$G,"0311",DATOS!$C:$C,"00")</f>
        <v>3357.9653704669549</v>
      </c>
      <c r="G12" s="194">
        <f>SUMIFS(DATOS!$F:$F,DATOS!$D:$D,$A12,DATOS!$A:$A,'Cuadro 2-Bocas del Toro'!G$6,DATOS!$B:$B,"B100101_03",DATOS!$G:$G,"0311",DATOS!$C:$C,"00")</f>
        <v>3587.5133850379752</v>
      </c>
      <c r="H12" s="194">
        <f>SUMIFS(DATOS!$F:$F,DATOS!$D:$D,$A12,DATOS!$A:$A,'Cuadro 2-Bocas del Toro'!H$6,DATOS!$B:$B,"B100101_03",DATOS!$G:$G,"0311",DATOS!$C:$C,"00")</f>
        <v>3852.7365494083201</v>
      </c>
      <c r="I12" s="195">
        <f>SUMIFS(DATOS!$F:$F,DATOS!$D:$D,$A12,DATOS!$A:$A,'Cuadro 2-Bocas del Toro'!I$6,DATOS!$B:$B,"B100101_03",DATOS!$G:$G,"0311",DATOS!$C:$C,"00")</f>
        <v>4087.0784209453409</v>
      </c>
    </row>
    <row r="13" spans="1:12" ht="32.25" customHeight="1">
      <c r="A13" s="56" t="s">
        <v>6</v>
      </c>
      <c r="B13" s="60" t="s">
        <v>55</v>
      </c>
      <c r="C13" s="194">
        <f>SUMIFS(DATOS!$F:$F,DATOS!$D:$D,$A13,DATOS!$A:$A,'Cuadro 2-Bocas del Toro'!C$6,DATOS!$B:$B,"B100101_03",DATOS!$G:$G,"0311",DATOS!$C:$C,"00")</f>
        <v>1658.2166048019415</v>
      </c>
      <c r="D13" s="194">
        <f>SUMIFS(DATOS!$F:$F,DATOS!$D:$D,$A13,DATOS!$A:$A,'Cuadro 2-Bocas del Toro'!D$6,DATOS!$B:$B,"B100101_03",DATOS!$G:$G,"0311",DATOS!$C:$C,"00")</f>
        <v>1796.5182524588288</v>
      </c>
      <c r="E13" s="194">
        <f>SUMIFS(DATOS!$F:$F,DATOS!$D:$D,$A13,DATOS!$A:$A,'Cuadro 2-Bocas del Toro'!E$6,DATOS!$B:$B,"B100101_03",DATOS!$G:$G,"0311",DATOS!$C:$C,"00")</f>
        <v>1861.8337646387254</v>
      </c>
      <c r="F13" s="194">
        <f>SUMIFS(DATOS!$F:$F,DATOS!$D:$D,$A13,DATOS!$A:$A,'Cuadro 2-Bocas del Toro'!F$6,DATOS!$B:$B,"B100101_03",DATOS!$G:$G,"0311",DATOS!$C:$C,"00")</f>
        <v>2184.13163572336</v>
      </c>
      <c r="G13" s="194">
        <f>SUMIFS(DATOS!$F:$F,DATOS!$D:$D,$A13,DATOS!$A:$A,'Cuadro 2-Bocas del Toro'!G$6,DATOS!$B:$B,"B100101_03",DATOS!$G:$G,"0311",DATOS!$C:$C,"00")</f>
        <v>2356.1941211104408</v>
      </c>
      <c r="H13" s="194">
        <f>SUMIFS(DATOS!$F:$F,DATOS!$D:$D,$A13,DATOS!$A:$A,'Cuadro 2-Bocas del Toro'!H$6,DATOS!$B:$B,"B100101_03",DATOS!$G:$G,"0311",DATOS!$C:$C,"00")</f>
        <v>2451.0332113568402</v>
      </c>
      <c r="I13" s="195">
        <f>SUMIFS(DATOS!$F:$F,DATOS!$D:$D,$A13,DATOS!$A:$A,'Cuadro 2-Bocas del Toro'!I$6,DATOS!$B:$B,"B100101_03",DATOS!$G:$G,"0311",DATOS!$C:$C,"00")</f>
        <v>2369.365321577769</v>
      </c>
    </row>
    <row r="14" spans="1:12" ht="32.25" customHeight="1">
      <c r="A14" s="56" t="s">
        <v>7</v>
      </c>
      <c r="B14" s="60" t="s">
        <v>32</v>
      </c>
      <c r="C14" s="194">
        <f>SUMIFS(DATOS!$F:$F,DATOS!$D:$D,$A14,DATOS!$A:$A,'Cuadro 2-Bocas del Toro'!C$6,DATOS!$B:$B,"B100101_03",DATOS!$G:$G,"0311",DATOS!$C:$C,"00")</f>
        <v>64.45641835440594</v>
      </c>
      <c r="D14" s="194">
        <f>SUMIFS(DATOS!$F:$F,DATOS!$D:$D,$A14,DATOS!$A:$A,'Cuadro 2-Bocas del Toro'!D$6,DATOS!$B:$B,"B100101_03",DATOS!$G:$G,"0311",DATOS!$C:$C,"00")</f>
        <v>59.803007834765204</v>
      </c>
      <c r="E14" s="194">
        <f>SUMIFS(DATOS!$F:$F,DATOS!$D:$D,$A14,DATOS!$A:$A,'Cuadro 2-Bocas del Toro'!E$6,DATOS!$B:$B,"B100101_03",DATOS!$G:$G,"0311",DATOS!$C:$C,"00")</f>
        <v>20.227722583392911</v>
      </c>
      <c r="F14" s="194">
        <f>SUMIFS(DATOS!$F:$F,DATOS!$D:$D,$A14,DATOS!$A:$A,'Cuadro 2-Bocas del Toro'!F$6,DATOS!$B:$B,"B100101_03",DATOS!$G:$G,"0311",DATOS!$C:$C,"00")</f>
        <v>30.982869250029324</v>
      </c>
      <c r="G14" s="194">
        <f>SUMIFS(DATOS!$F:$F,DATOS!$D:$D,$A14,DATOS!$A:$A,'Cuadro 2-Bocas del Toro'!G$6,DATOS!$B:$B,"B100101_03",DATOS!$G:$G,"0311",DATOS!$C:$C,"00")</f>
        <v>10.600343990584108</v>
      </c>
      <c r="H14" s="194">
        <f>SUMIFS(DATOS!$F:$F,DATOS!$D:$D,$A14,DATOS!$A:$A,'Cuadro 2-Bocas del Toro'!H$6,DATOS!$B:$B,"B100101_03",DATOS!$G:$G,"0311",DATOS!$C:$C,"00")</f>
        <v>11.7456566919924</v>
      </c>
      <c r="I14" s="195">
        <f>SUMIFS(DATOS!$F:$F,DATOS!$D:$D,$A14,DATOS!$A:$A,'Cuadro 2-Bocas del Toro'!I$6,DATOS!$B:$B,"B100101_03",DATOS!$G:$G,"0311",DATOS!$C:$C,"00")</f>
        <v>13.0819675894324</v>
      </c>
    </row>
    <row r="15" spans="1:12" ht="32.25" customHeight="1">
      <c r="A15" s="56" t="s">
        <v>8</v>
      </c>
      <c r="B15" s="60" t="s">
        <v>56</v>
      </c>
      <c r="C15" s="194">
        <f>SUMIFS(DATOS!$F:$F,DATOS!$D:$D,$A15,DATOS!$A:$A,'Cuadro 2-Bocas del Toro'!C$6,DATOS!$B:$B,"B100101_03",DATOS!$G:$G,"0311",DATOS!$C:$C,"00")</f>
        <v>128.26450035085338</v>
      </c>
      <c r="D15" s="194">
        <f>SUMIFS(DATOS!$F:$F,DATOS!$D:$D,$A15,DATOS!$A:$A,'Cuadro 2-Bocas del Toro'!D$6,DATOS!$B:$B,"B100101_03",DATOS!$G:$G,"0311",DATOS!$C:$C,"00")</f>
        <v>128.69967418728248</v>
      </c>
      <c r="E15" s="194">
        <f>SUMIFS(DATOS!$F:$F,DATOS!$D:$D,$A15,DATOS!$A:$A,'Cuadro 2-Bocas del Toro'!E$6,DATOS!$B:$B,"B100101_03",DATOS!$G:$G,"0311",DATOS!$C:$C,"00")</f>
        <v>130.81987755636644</v>
      </c>
      <c r="F15" s="194">
        <f>SUMIFS(DATOS!$F:$F,DATOS!$D:$D,$A15,DATOS!$A:$A,'Cuadro 2-Bocas del Toro'!F$6,DATOS!$B:$B,"B100101_03",DATOS!$G:$G,"0311",DATOS!$C:$C,"00")</f>
        <v>138.94643354693949</v>
      </c>
      <c r="G15" s="194">
        <f>SUMIFS(DATOS!$F:$F,DATOS!$D:$D,$A15,DATOS!$A:$A,'Cuadro 2-Bocas del Toro'!G$6,DATOS!$B:$B,"B100101_03",DATOS!$G:$G,"0311",DATOS!$C:$C,"00")</f>
        <v>137.72754724269043</v>
      </c>
      <c r="H15" s="194">
        <f>SUMIFS(DATOS!$F:$F,DATOS!$D:$D,$A15,DATOS!$A:$A,'Cuadro 2-Bocas del Toro'!H$6,DATOS!$B:$B,"B100101_03",DATOS!$G:$G,"0311",DATOS!$C:$C,"00")</f>
        <v>148.1605404447341</v>
      </c>
      <c r="I15" s="195">
        <f>SUMIFS(DATOS!$F:$F,DATOS!$D:$D,$A15,DATOS!$A:$A,'Cuadro 2-Bocas del Toro'!I$6,DATOS!$B:$B,"B100101_03",DATOS!$G:$G,"0311",DATOS!$C:$C,"00")</f>
        <v>158.08187763167243</v>
      </c>
    </row>
    <row r="16" spans="1:12" ht="32.25" customHeight="1">
      <c r="A16" s="56" t="s">
        <v>9</v>
      </c>
      <c r="B16" s="60" t="s">
        <v>57</v>
      </c>
      <c r="C16" s="194">
        <f>SUMIFS(DATOS!$F:$F,DATOS!$D:$D,$A16,DATOS!$A:$A,'Cuadro 2-Bocas del Toro'!C$6,DATOS!$B:$B,"B100101_03",DATOS!$G:$G,"0311",DATOS!$C:$C,"00")</f>
        <v>112.93266800215159</v>
      </c>
      <c r="D16" s="194">
        <f>SUMIFS(DATOS!$F:$F,DATOS!$D:$D,$A16,DATOS!$A:$A,'Cuadro 2-Bocas del Toro'!D$6,DATOS!$B:$B,"B100101_03",DATOS!$G:$G,"0311",DATOS!$C:$C,"00")</f>
        <v>132.67763042806334</v>
      </c>
      <c r="E16" s="194">
        <f>SUMIFS(DATOS!$F:$F,DATOS!$D:$D,$A16,DATOS!$A:$A,'Cuadro 2-Bocas del Toro'!E$6,DATOS!$B:$B,"B100101_03",DATOS!$G:$G,"0311",DATOS!$C:$C,"00")</f>
        <v>145.89024612359441</v>
      </c>
      <c r="F16" s="194">
        <f>SUMIFS(DATOS!$F:$F,DATOS!$D:$D,$A16,DATOS!$A:$A,'Cuadro 2-Bocas del Toro'!F$6,DATOS!$B:$B,"B100101_03",DATOS!$G:$G,"0311",DATOS!$C:$C,"00")</f>
        <v>152.25702844661336</v>
      </c>
      <c r="G16" s="194">
        <f>SUMIFS(DATOS!$F:$F,DATOS!$D:$D,$A16,DATOS!$A:$A,'Cuadro 2-Bocas del Toro'!G$6,DATOS!$B:$B,"B100101_03",DATOS!$G:$G,"0311",DATOS!$C:$C,"00")</f>
        <v>161.32235574554417</v>
      </c>
      <c r="H16" s="194">
        <f>SUMIFS(DATOS!$F:$F,DATOS!$D:$D,$A16,DATOS!$A:$A,'Cuadro 2-Bocas del Toro'!H$6,DATOS!$B:$B,"B100101_03",DATOS!$G:$G,"0311",DATOS!$C:$C,"00")</f>
        <v>162.90516640908868</v>
      </c>
      <c r="I16" s="195">
        <f>SUMIFS(DATOS!$F:$F,DATOS!$D:$D,$A16,DATOS!$A:$A,'Cuadro 2-Bocas del Toro'!I$6,DATOS!$B:$B,"B100101_03",DATOS!$G:$G,"0311",DATOS!$C:$C,"00")</f>
        <v>172.58628740904439</v>
      </c>
    </row>
    <row r="17" spans="1:16" ht="32.25" customHeight="1">
      <c r="A17" s="56" t="s">
        <v>70</v>
      </c>
      <c r="B17" s="60" t="s">
        <v>95</v>
      </c>
      <c r="C17" s="194">
        <f>SUMIFS(DATOS!$F:$F,DATOS!$D:$D,$A17,DATOS!$A:$A,'Cuadro 2-Bocas del Toro'!C$6,DATOS!$B:$B,"B100101_03",DATOS!$G:$G,"0311",DATOS!$C:$C,"00")</f>
        <v>232.35781305247812</v>
      </c>
      <c r="D17" s="194">
        <f>SUMIFS(DATOS!$F:$F,DATOS!$D:$D,$A17,DATOS!$A:$A,'Cuadro 2-Bocas del Toro'!D$6,DATOS!$B:$B,"B100101_03",DATOS!$G:$G,"0311",DATOS!$C:$C,"00")</f>
        <v>238.50981509155682</v>
      </c>
      <c r="E17" s="194">
        <f>SUMIFS(DATOS!$F:$F,DATOS!$D:$D,$A17,DATOS!$A:$A,'Cuadro 2-Bocas del Toro'!E$6,DATOS!$B:$B,"B100101_03",DATOS!$G:$G,"0311",DATOS!$C:$C,"00")</f>
        <v>238.88750469452955</v>
      </c>
      <c r="F17" s="194">
        <f>SUMIFS(DATOS!$F:$F,DATOS!$D:$D,$A17,DATOS!$A:$A,'Cuadro 2-Bocas del Toro'!F$6,DATOS!$B:$B,"B100101_03",DATOS!$G:$G,"0311",DATOS!$C:$C,"00")</f>
        <v>224.47538233317474</v>
      </c>
      <c r="G17" s="194">
        <f>SUMIFS(DATOS!$F:$F,DATOS!$D:$D,$A17,DATOS!$A:$A,'Cuadro 2-Bocas del Toro'!G$6,DATOS!$B:$B,"B100101_03",DATOS!$G:$G,"0311",DATOS!$C:$C,"00")</f>
        <v>293.4062712326172</v>
      </c>
      <c r="H17" s="194">
        <f>SUMIFS(DATOS!$F:$F,DATOS!$D:$D,$A17,DATOS!$A:$A,'Cuadro 2-Bocas del Toro'!H$6,DATOS!$B:$B,"B100101_03",DATOS!$G:$G,"0311",DATOS!$C:$C,"00")</f>
        <v>211.80185106454948</v>
      </c>
      <c r="I17" s="195">
        <f>SUMIFS(DATOS!$F:$F,DATOS!$D:$D,$A17,DATOS!$A:$A,'Cuadro 2-Bocas del Toro'!I$6,DATOS!$B:$B,"B100101_03",DATOS!$G:$G,"0311",DATOS!$C:$C,"00")</f>
        <v>259.5979413750581</v>
      </c>
    </row>
    <row r="18" spans="1:16" ht="32.25" customHeight="1">
      <c r="A18" s="56" t="s">
        <v>10</v>
      </c>
      <c r="B18" s="60" t="s">
        <v>58</v>
      </c>
      <c r="C18" s="194">
        <f>SUMIFS(DATOS!$F:$F,DATOS!$D:$D,$A18,DATOS!$A:$A,'Cuadro 2-Bocas del Toro'!C$6,DATOS!$B:$B,"B100101_03",DATOS!$G:$G,"0311",DATOS!$C:$C,"00")</f>
        <v>12.110577059296677</v>
      </c>
      <c r="D18" s="194">
        <f>SUMIFS(DATOS!$F:$F,DATOS!$D:$D,$A18,DATOS!$A:$A,'Cuadro 2-Bocas del Toro'!D$6,DATOS!$B:$B,"B100101_03",DATOS!$G:$G,"0311",DATOS!$C:$C,"00")</f>
        <v>12.414955898629522</v>
      </c>
      <c r="E18" s="194">
        <f>SUMIFS(DATOS!$F:$F,DATOS!$D:$D,$A18,DATOS!$A:$A,'Cuadro 2-Bocas del Toro'!E$6,DATOS!$B:$B,"B100101_03",DATOS!$G:$G,"0311",DATOS!$C:$C,"00")</f>
        <v>9.8759629052114022</v>
      </c>
      <c r="F18" s="194">
        <f>SUMIFS(DATOS!$F:$F,DATOS!$D:$D,$A18,DATOS!$A:$A,'Cuadro 2-Bocas del Toro'!F$6,DATOS!$B:$B,"B100101_03",DATOS!$G:$G,"0311",DATOS!$C:$C,"00")</f>
        <v>8.4831055934424917</v>
      </c>
      <c r="G18" s="194">
        <f>SUMIFS(DATOS!$F:$F,DATOS!$D:$D,$A18,DATOS!$A:$A,'Cuadro 2-Bocas del Toro'!G$6,DATOS!$B:$B,"B100101_03",DATOS!$G:$G,"0311",DATOS!$C:$C,"00")</f>
        <v>8.8632299364679401</v>
      </c>
      <c r="H18" s="194">
        <f>SUMIFS(DATOS!$F:$F,DATOS!$D:$D,$A18,DATOS!$A:$A,'Cuadro 2-Bocas del Toro'!H$6,DATOS!$B:$B,"B100101_03",DATOS!$G:$G,"0311",DATOS!$C:$C,"00")</f>
        <v>9.9544679130498412</v>
      </c>
      <c r="I18" s="195">
        <f>SUMIFS(DATOS!$F:$F,DATOS!$D:$D,$A18,DATOS!$A:$A,'Cuadro 2-Bocas del Toro'!I$6,DATOS!$B:$B,"B100101_03",DATOS!$G:$G,"0311",DATOS!$C:$C,"00")</f>
        <v>10.40826525668705</v>
      </c>
    </row>
    <row r="19" spans="1:16" ht="32.25" customHeight="1">
      <c r="A19" s="56" t="s">
        <v>59</v>
      </c>
      <c r="B19" s="60" t="s">
        <v>60</v>
      </c>
      <c r="C19" s="194">
        <f>SUMIFS(DATOS!$F:$F,DATOS!$D:$D,$A19,DATOS!$A:$A,'Cuadro 2-Bocas del Toro'!C$6,DATOS!$B:$B,"B100101_03",DATOS!$G:$G,"0311",DATOS!$C:$C,"00")</f>
        <v>1.3302398437963885</v>
      </c>
      <c r="D19" s="194">
        <f>SUMIFS(DATOS!$F:$F,DATOS!$D:$D,$A19,DATOS!$A:$A,'Cuadro 2-Bocas del Toro'!D$6,DATOS!$B:$B,"B100101_03",DATOS!$G:$G,"0311",DATOS!$C:$C,"00")</f>
        <v>1.9837607730095024</v>
      </c>
      <c r="E19" s="194">
        <f>SUMIFS(DATOS!$F:$F,DATOS!$D:$D,$A19,DATOS!$A:$A,'Cuadro 2-Bocas del Toro'!E$6,DATOS!$B:$B,"B100101_03",DATOS!$G:$G,"0311",DATOS!$C:$C,"00")</f>
        <v>2.0837516887331473</v>
      </c>
      <c r="F19" s="194">
        <f>SUMIFS(DATOS!$F:$F,DATOS!$D:$D,$A19,DATOS!$A:$A,'Cuadro 2-Bocas del Toro'!F$6,DATOS!$B:$B,"B100101_03",DATOS!$G:$G,"0311",DATOS!$C:$C,"00")</f>
        <v>1.9313019813092871</v>
      </c>
      <c r="G19" s="194">
        <f>SUMIFS(DATOS!$F:$F,DATOS!$D:$D,$A19,DATOS!$A:$A,'Cuadro 2-Bocas del Toro'!G$6,DATOS!$B:$B,"B100101_03",DATOS!$G:$G,"0311",DATOS!$C:$C,"00")</f>
        <v>1.6283300018615849</v>
      </c>
      <c r="H19" s="194">
        <f>SUMIFS(DATOS!$F:$F,DATOS!$D:$D,$A19,DATOS!$A:$A,'Cuadro 2-Bocas del Toro'!H$6,DATOS!$B:$B,"B100101_03",DATOS!$G:$G,"0311",DATOS!$C:$C,"00")</f>
        <v>1.6219579872895229</v>
      </c>
      <c r="I19" s="195">
        <f>SUMIFS(DATOS!$F:$F,DATOS!$D:$D,$A19,DATOS!$A:$A,'Cuadro 2-Bocas del Toro'!I$6,DATOS!$B:$B,"B100101_03",DATOS!$G:$G,"0311",DATOS!$C:$C,"00")</f>
        <v>1.5542251044121227</v>
      </c>
    </row>
    <row r="20" spans="1:16" ht="32.25" customHeight="1">
      <c r="A20" s="56" t="s">
        <v>66</v>
      </c>
      <c r="B20" s="60" t="s">
        <v>67</v>
      </c>
      <c r="C20" s="194">
        <f>SUMIFS(DATOS!$F:$F,DATOS!$D:$D,$A20,DATOS!$A:$A,'Cuadro 2-Bocas del Toro'!C$6,DATOS!$B:$B,"B100101_03",DATOS!$G:$G,"0311",DATOS!$C:$C,"00")</f>
        <v>48.476133928788613</v>
      </c>
      <c r="D20" s="194">
        <f>SUMIFS(DATOS!$F:$F,DATOS!$D:$D,$A20,DATOS!$A:$A,'Cuadro 2-Bocas del Toro'!D$6,DATOS!$B:$B,"B100101_03",DATOS!$G:$G,"0311",DATOS!$C:$C,"00")</f>
        <v>42.844805574925907</v>
      </c>
      <c r="E20" s="194">
        <f>SUMIFS(DATOS!$F:$F,DATOS!$D:$D,$A20,DATOS!$A:$A,'Cuadro 2-Bocas del Toro'!E$6,DATOS!$B:$B,"B100101_03",DATOS!$G:$G,"0311",DATOS!$C:$C,"00")</f>
        <v>36.102309313554095</v>
      </c>
      <c r="F20" s="194">
        <f>SUMIFS(DATOS!$F:$F,DATOS!$D:$D,$A20,DATOS!$A:$A,'Cuadro 2-Bocas del Toro'!F$6,DATOS!$B:$B,"B100101_03",DATOS!$G:$G,"0311",DATOS!$C:$C,"00")</f>
        <v>37.324138210900557</v>
      </c>
      <c r="G20" s="194">
        <f>SUMIFS(DATOS!$F:$F,DATOS!$D:$D,$A20,DATOS!$A:$A,'Cuadro 2-Bocas del Toro'!G$6,DATOS!$B:$B,"B100101_03",DATOS!$G:$G,"0311",DATOS!$C:$C,"00")</f>
        <v>34.455549886702663</v>
      </c>
      <c r="H20" s="194">
        <f>SUMIFS(DATOS!$F:$F,DATOS!$D:$D,$A20,DATOS!$A:$A,'Cuadro 2-Bocas del Toro'!H$6,DATOS!$B:$B,"B100101_03",DATOS!$G:$G,"0311",DATOS!$C:$C,"00")</f>
        <v>36.560032609495103</v>
      </c>
      <c r="I20" s="195">
        <f>SUMIFS(DATOS!$F:$F,DATOS!$D:$D,$A20,DATOS!$A:$A,'Cuadro 2-Bocas del Toro'!I$6,DATOS!$B:$B,"B100101_03",DATOS!$G:$G,"0311",DATOS!$C:$C,"00")</f>
        <v>37.973105603250239</v>
      </c>
    </row>
    <row r="21" spans="1:16" ht="32.25" customHeight="1">
      <c r="A21" s="66" t="s">
        <v>61</v>
      </c>
      <c r="B21" s="65" t="s">
        <v>62</v>
      </c>
      <c r="C21" s="196">
        <f>SUMIFS(DATOS!$F:$F,DATOS!$D:$D,$A21,DATOS!$A:$A,'Cuadro 2-Bocas del Toro'!C$6,DATOS!$B:$B,"B100101_03",DATOS!$G:$G,"0311",DATOS!$C:$C,"00")</f>
        <v>12.498627227116911</v>
      </c>
      <c r="D21" s="196">
        <f>SUMIFS(DATOS!$F:$F,DATOS!$D:$D,$A21,DATOS!$A:$A,'Cuadro 2-Bocas del Toro'!D$6,DATOS!$B:$B,"B100101_03",DATOS!$G:$G,"0311",DATOS!$C:$C,"00")</f>
        <v>18.798193647731985</v>
      </c>
      <c r="E21" s="196">
        <f>SUMIFS(DATOS!$F:$F,DATOS!$D:$D,$A21,DATOS!$A:$A,'Cuadro 2-Bocas del Toro'!E$6,DATOS!$B:$B,"B100101_03",DATOS!$G:$G,"0311",DATOS!$C:$C,"00")</f>
        <v>15.104964346204788</v>
      </c>
      <c r="F21" s="196">
        <f>SUMIFS(DATOS!$F:$F,DATOS!$D:$D,$A21,DATOS!$A:$A,'Cuadro 2-Bocas del Toro'!F$6,DATOS!$B:$B,"B100101_03",DATOS!$G:$G,"0311",DATOS!$C:$C,"00")</f>
        <v>7.2250009033989651</v>
      </c>
      <c r="G21" s="196">
        <f>SUMIFS(DATOS!$F:$F,DATOS!$D:$D,$A21,DATOS!$A:$A,'Cuadro 2-Bocas del Toro'!G$6,DATOS!$B:$B,"B100101_03",DATOS!$G:$G,"0311",DATOS!$C:$C,"00")</f>
        <v>8.7809995345674796</v>
      </c>
      <c r="H21" s="197">
        <f>SUMIFS(DATOS!$F:$F,DATOS!$D:$D,$A21,DATOS!$A:$A,'Cuadro 2-Bocas del Toro'!H$6,DATOS!$B:$B,"B100101_03",DATOS!$G:$G,"0311",DATOS!$C:$C,"00")</f>
        <v>8.6938914378536438</v>
      </c>
      <c r="I21" s="198">
        <f>SUMIFS(DATOS!$F:$F,DATOS!$D:$D,$A21,DATOS!$A:$A,'Cuadro 2-Bocas del Toro'!I$6,DATOS!$B:$B,"B100101_03",DATOS!$G:$G,"0311",DATOS!$C:$C,"00")</f>
        <v>9.2792430244062469</v>
      </c>
    </row>
    <row r="22" spans="1:16" ht="32.25" customHeight="1">
      <c r="A22" s="25"/>
      <c r="B22" s="22" t="s">
        <v>93</v>
      </c>
      <c r="C22" s="196">
        <f>SUMIFS(DATOS!$F:$F,DATOS!$D:$D,"GOB",DATOS!$A:$A,'Cuadro 2-Bocas del Toro'!C$6,DATOS!$B:$B,"B100103_03",DATOS!$G:$G,"0311",DATOS!$C:$C,"00")</f>
        <v>334.39005130689287</v>
      </c>
      <c r="D22" s="196">
        <f>SUMIFS(DATOS!$F:$F,DATOS!$D:$D,"GOB",DATOS!$A:$A,'Cuadro 2-Bocas del Toro'!D$6,DATOS!$B:$B,"B100103_03",DATOS!$G:$G,"0311",DATOS!$C:$C,"00")</f>
        <v>334.75621859715284</v>
      </c>
      <c r="E22" s="196">
        <f>SUMIFS(DATOS!$F:$F,DATOS!$D:$D,"GOB",DATOS!$A:$A,'Cuadro 2-Bocas del Toro'!E$6,DATOS!$B:$B,"B100103_03",DATOS!$G:$G,"0311",DATOS!$C:$C,"00")</f>
        <v>398.01736318544795</v>
      </c>
      <c r="F22" s="196">
        <f>SUMIFS(DATOS!$F:$F,DATOS!$D:$D,"GOB",DATOS!$A:$A,'Cuadro 2-Bocas del Toro'!F$6,DATOS!$B:$B,"B100103_03",DATOS!$G:$G,"0311",DATOS!$C:$C,"00")</f>
        <v>449.58477180834484</v>
      </c>
      <c r="G22" s="196">
        <f>SUMIFS(DATOS!$F:$F,DATOS!$D:$D,"GOB",DATOS!$A:$A,'Cuadro 2-Bocas del Toro'!G$6,DATOS!$B:$B,"B100103_03",DATOS!$G:$G,"0311",DATOS!$C:$C,"00")</f>
        <v>442.5643416673509</v>
      </c>
      <c r="H22" s="197">
        <f>SUMIFS(DATOS!$F:$F,DATOS!$D:$D,"GOB",DATOS!$A:$A,'Cuadro 2-Bocas del Toro'!H$6,DATOS!$B:$B,"B100103_03",DATOS!$G:$G,"0311",DATOS!$C:$C,"00")</f>
        <v>414.05683185810864</v>
      </c>
      <c r="I22" s="198">
        <f>SUMIFS(DATOS!$F:$F,DATOS!$D:$D,"GOB",DATOS!$A:$A,'Cuadro 2-Bocas del Toro'!I$6,DATOS!$B:$B,"B100103_03",DATOS!$G:$G,"0311",DATOS!$C:$C,"00")</f>
        <v>423.81121586214169</v>
      </c>
    </row>
    <row r="23" spans="1:16" ht="32.25" customHeight="1">
      <c r="A23" s="26"/>
      <c r="B23" s="27" t="s">
        <v>33</v>
      </c>
      <c r="C23" s="199">
        <f>SUMIFS(DATOS!$F:$F,DATOS!$D:$D,"VAB",DATOS!$A:$A,'Cuadro 2-Bocas del Toro'!C$6,DATOS!$B:$B,"VAB_03",DATOS!$G:$G,"0311",DATOS!$C:$C,"00")</f>
        <v>10221.835987147268</v>
      </c>
      <c r="D23" s="199">
        <f>SUMIFS(DATOS!$F:$F,DATOS!$D:$D,"VAB",DATOS!$A:$A,'Cuadro 2-Bocas del Toro'!D$6,DATOS!$B:$B,"VAB_03",DATOS!$G:$G,"0311",DATOS!$C:$C,"00")</f>
        <v>10294.247007335671</v>
      </c>
      <c r="E23" s="199">
        <f>SUMIFS(DATOS!$F:$F,DATOS!$D:$D,"VAB",DATOS!$A:$A,'Cuadro 2-Bocas del Toro'!E$6,DATOS!$B:$B,"VAB_03",DATOS!$G:$G,"0311",DATOS!$C:$C,"00")</f>
        <v>8968.0279419641211</v>
      </c>
      <c r="F23" s="199">
        <f>SUMIFS(DATOS!$F:$F,DATOS!$D:$D,"VAB",DATOS!$A:$A,'Cuadro 2-Bocas del Toro'!F$6,DATOS!$B:$B,"VAB_03",DATOS!$G:$G,"0311",DATOS!$C:$C,"00")</f>
        <v>10524.967663253608</v>
      </c>
      <c r="G23" s="199">
        <f>SUMIFS(DATOS!$F:$F,DATOS!$D:$D,"VAB",DATOS!$A:$A,'Cuadro 2-Bocas del Toro'!G$6,DATOS!$B:$B,"VAB_03",DATOS!$G:$G,"0311",DATOS!$C:$C,"00")</f>
        <v>12298.160671053689</v>
      </c>
      <c r="H23" s="200">
        <f>SUMIFS(DATOS!$F:$F,DATOS!$D:$D,"VAB",DATOS!$A:$A,'Cuadro 2-Bocas del Toro'!H$6,DATOS!$B:$B,"VAB_03",DATOS!$G:$G,"0311",DATOS!$C:$C,"00")</f>
        <v>11495.280653626925</v>
      </c>
      <c r="I23" s="201">
        <f>SUMIFS(DATOS!$F:$F,DATOS!$D:$D,"VAB",DATOS!$A:$A,'Cuadro 2-Bocas del Toro'!I$6,DATOS!$B:$B,"VAB_03",DATOS!$G:$G,"0311",DATOS!$C:$C,"00")</f>
        <v>8365.139395953096</v>
      </c>
    </row>
    <row r="24" spans="1:16" ht="32.25" customHeight="1">
      <c r="A24" s="29" t="s">
        <v>25</v>
      </c>
      <c r="B24" s="22" t="s">
        <v>34</v>
      </c>
      <c r="C24" s="196">
        <f>SUMIFS(DATOS!$F:$F,DATOS!$D:$D,"IMP",DATOS!$A:$A,'Cuadro 2-Bocas del Toro'!C$6,DATOS!$B:$B,"IMP_03",DATOS!$G:$G,"0311",DATOS!$C:$C,"00")</f>
        <v>203.99524458374938</v>
      </c>
      <c r="D24" s="196">
        <f>SUMIFS(DATOS!$F:$F,DATOS!$D:$D,"IMP",DATOS!$A:$A,'Cuadro 2-Bocas del Toro'!D$6,DATOS!$B:$B,"IMP_03",DATOS!$G:$G,"0311",DATOS!$C:$C,"00")</f>
        <v>193.61037801092286</v>
      </c>
      <c r="E24" s="196">
        <f>SUMIFS(DATOS!$F:$F,DATOS!$D:$D,"IMP",DATOS!$A:$A,'Cuadro 2-Bocas del Toro'!E$6,DATOS!$B:$B,"IMP_03",DATOS!$G:$G,"0311",DATOS!$C:$C,"00")</f>
        <v>121.53327556376449</v>
      </c>
      <c r="F24" s="196">
        <f>SUMIFS(DATOS!$F:$F,DATOS!$D:$D,"IMP",DATOS!$A:$A,'Cuadro 2-Bocas del Toro'!F$6,DATOS!$B:$B,"IMP_03",DATOS!$G:$G,"0311",DATOS!$C:$C,"00")</f>
        <v>152.12496280383991</v>
      </c>
      <c r="G24" s="196">
        <f>SUMIFS(DATOS!$F:$F,DATOS!$D:$D,"IMP",DATOS!$A:$A,'Cuadro 2-Bocas del Toro'!G$6,DATOS!$B:$B,"IMP_03",DATOS!$G:$G,"0311",DATOS!$C:$C,"00")</f>
        <v>188.39774251608986</v>
      </c>
      <c r="H24" s="197">
        <f>SUMIFS(DATOS!$F:$F,DATOS!$D:$D,"IMP",DATOS!$A:$A,'Cuadro 2-Bocas del Toro'!H$6,DATOS!$B:$B,"IMP_03",DATOS!$G:$G,"0311",DATOS!$C:$C,"00")</f>
        <v>174.78942823019079</v>
      </c>
      <c r="I24" s="198">
        <f>SUMIFS(DATOS!$F:$F,DATOS!$D:$D,"IMP",DATOS!$A:$A,'Cuadro 2-Bocas del Toro'!I$6,DATOS!$B:$B,"IMP_03",DATOS!$G:$G,"0311",DATOS!$C:$C,"00")</f>
        <v>149.9641087357565</v>
      </c>
    </row>
    <row r="25" spans="1:16" ht="32.25" customHeight="1">
      <c r="A25" s="30"/>
      <c r="B25" s="27" t="s">
        <v>35</v>
      </c>
      <c r="C25" s="199">
        <f>SUMIFS(DATOS!$F:$F,DATOS!$D:$D,"PIB",DATOS!$A:$A,'Cuadro 2-Bocas del Toro'!C$6,DATOS!$B:$B,"PIB_03",DATOS!$G:$G,"0311",DATOS!$C:$C,"00")</f>
        <v>10425.831231731017</v>
      </c>
      <c r="D25" s="199">
        <f>SUMIFS(DATOS!$F:$F,DATOS!$D:$D,"PIB",DATOS!$A:$A,'Cuadro 2-Bocas del Toro'!D$6,DATOS!$B:$B,"PIB_03",DATOS!$G:$G,"0311",DATOS!$C:$C,"00")</f>
        <v>10487.857385346591</v>
      </c>
      <c r="E25" s="199">
        <f>SUMIFS(DATOS!$F:$F,DATOS!$D:$D,"PIB",DATOS!$A:$A,'Cuadro 2-Bocas del Toro'!E$6,DATOS!$B:$B,"PIB_03",DATOS!$G:$G,"0311",DATOS!$C:$C,"00")</f>
        <v>9091.6596968649483</v>
      </c>
      <c r="F25" s="199">
        <f>SUMIFS(DATOS!$F:$F,DATOS!$D:$D,"PIB",DATOS!$A:$A,'Cuadro 2-Bocas del Toro'!F$6,DATOS!$B:$B,"PIB_03",DATOS!$G:$G,"0311",DATOS!$C:$C,"00")</f>
        <v>10679.611492792366</v>
      </c>
      <c r="G25" s="199">
        <f>SUMIFS(DATOS!$F:$F,DATOS!$D:$D,"PIB",DATOS!$A:$A,'Cuadro 2-Bocas del Toro'!G$6,DATOS!$B:$B,"PIB_03",DATOS!$G:$G,"0311",DATOS!$C:$C,"00")</f>
        <v>12490.037699297338</v>
      </c>
      <c r="H25" s="200">
        <f>SUMIFS(DATOS!$F:$F,DATOS!$D:$D,"PIB",DATOS!$A:$A,'Cuadro 2-Bocas del Toro'!H$6,DATOS!$B:$B,"PIB_03",DATOS!$G:$G,"0311",DATOS!$C:$C,"00")</f>
        <v>11673.276693367514</v>
      </c>
      <c r="I25" s="201">
        <f>SUMIFS(DATOS!$F:$F,DATOS!$D:$D,"PIB",DATOS!$A:$A,'Cuadro 2-Bocas del Toro'!I$6,DATOS!$B:$B,"PIB_03",DATOS!$G:$G,"0311",DATOS!$C:$C,"00")</f>
        <v>8517.2737903209418</v>
      </c>
    </row>
    <row r="26" spans="1:16" ht="32.25" customHeight="1">
      <c r="A26" s="7"/>
      <c r="B26" s="72"/>
      <c r="C26" s="105"/>
      <c r="D26" s="105"/>
      <c r="E26" s="105"/>
      <c r="F26" s="105"/>
      <c r="G26" s="105"/>
      <c r="K26" s="92"/>
    </row>
    <row r="27" spans="1:16" s="73" customFormat="1" ht="26.25" customHeight="1" thickBot="1">
      <c r="A27" s="192" t="s">
        <v>198</v>
      </c>
      <c r="B27" s="192"/>
      <c r="C27" s="192"/>
      <c r="D27" s="192"/>
      <c r="E27" s="192"/>
      <c r="F27" s="192"/>
      <c r="G27" s="192"/>
      <c r="H27" s="192"/>
      <c r="I27" s="192"/>
      <c r="J27" s="90"/>
      <c r="K27" s="75"/>
    </row>
    <row r="28" spans="1:16" ht="32.1" customHeight="1" thickTop="1">
      <c r="A28" s="217" t="s">
        <v>29</v>
      </c>
      <c r="B28" s="217" t="s">
        <v>30</v>
      </c>
      <c r="C28" s="217" t="s">
        <v>340</v>
      </c>
      <c r="D28" s="217"/>
      <c r="E28" s="217"/>
      <c r="F28" s="217"/>
      <c r="G28" s="217"/>
      <c r="H28" s="217"/>
      <c r="I28" s="219"/>
    </row>
    <row r="29" spans="1:16" ht="32.1" customHeight="1" thickBot="1">
      <c r="A29" s="218"/>
      <c r="B29" s="218"/>
      <c r="C29" s="119">
        <v>2018</v>
      </c>
      <c r="D29" s="119">
        <v>2019</v>
      </c>
      <c r="E29" s="119">
        <v>2020</v>
      </c>
      <c r="F29" s="119">
        <v>2021</v>
      </c>
      <c r="G29" s="119">
        <v>2022</v>
      </c>
      <c r="H29" s="119" t="s">
        <v>185</v>
      </c>
      <c r="I29" s="119" t="s">
        <v>107</v>
      </c>
    </row>
    <row r="30" spans="1:16" s="13" customFormat="1" ht="32.25" customHeight="1" thickTop="1">
      <c r="A30" s="56" t="s">
        <v>0</v>
      </c>
      <c r="B30" s="60" t="s">
        <v>53</v>
      </c>
      <c r="C30" s="19">
        <f>IFERROR(C7/C$25*100,"")</f>
        <v>0.40613415685040544</v>
      </c>
      <c r="D30" s="19">
        <f t="shared" ref="D30:I30" si="0">IFERROR(D7/D$25*100,"")</f>
        <v>0.41801870876228614</v>
      </c>
      <c r="E30" s="19">
        <f t="shared" si="0"/>
        <v>0.55290380792283722</v>
      </c>
      <c r="F30" s="19">
        <f t="shared" si="0"/>
        <v>0.47639181093453703</v>
      </c>
      <c r="G30" s="19">
        <f t="shared" si="0"/>
        <v>0.37644196222531917</v>
      </c>
      <c r="H30" s="19">
        <f t="shared" si="0"/>
        <v>0.40381018051432183</v>
      </c>
      <c r="I30" s="143">
        <f t="shared" si="0"/>
        <v>0.59522448275268292</v>
      </c>
      <c r="J30" s="50"/>
      <c r="K30" s="50"/>
      <c r="L30" s="50"/>
      <c r="M30" s="50"/>
      <c r="N30" s="50"/>
      <c r="O30" s="50"/>
      <c r="P30" s="50"/>
    </row>
    <row r="31" spans="1:16" s="13" customFormat="1" ht="32.25" customHeight="1">
      <c r="A31" s="56" t="s">
        <v>1</v>
      </c>
      <c r="B31" s="60" t="s">
        <v>31</v>
      </c>
      <c r="C31" s="19">
        <f t="shared" ref="C31:I46" si="1">IFERROR(C8/C$25*100,"")</f>
        <v>2.3402085643987767</v>
      </c>
      <c r="D31" s="19">
        <f t="shared" si="1"/>
        <v>3.6612857557307352</v>
      </c>
      <c r="E31" s="19">
        <f t="shared" si="1"/>
        <v>11.142168461096304</v>
      </c>
      <c r="F31" s="19">
        <f t="shared" si="1"/>
        <v>21.090954320000886</v>
      </c>
      <c r="G31" s="19">
        <f t="shared" si="1"/>
        <v>18.492999334288271</v>
      </c>
      <c r="H31" s="19">
        <f t="shared" si="1"/>
        <v>16.373774974331781</v>
      </c>
      <c r="I31" s="106">
        <f t="shared" si="1"/>
        <v>0.35747557079962217</v>
      </c>
      <c r="J31" s="50"/>
      <c r="K31" s="50"/>
      <c r="L31" s="50"/>
      <c r="M31" s="50"/>
      <c r="N31" s="50"/>
      <c r="O31" s="50"/>
      <c r="P31" s="50"/>
    </row>
    <row r="32" spans="1:16" s="13" customFormat="1" ht="32.25" customHeight="1">
      <c r="A32" s="56" t="s">
        <v>2</v>
      </c>
      <c r="B32" s="60" t="s">
        <v>3</v>
      </c>
      <c r="C32" s="19">
        <f t="shared" si="1"/>
        <v>0.90820127442893339</v>
      </c>
      <c r="D32" s="19">
        <f t="shared" si="1"/>
        <v>0.80662507027614194</v>
      </c>
      <c r="E32" s="19">
        <f t="shared" si="1"/>
        <v>0.75489884603851753</v>
      </c>
      <c r="F32" s="19">
        <f t="shared" si="1"/>
        <v>0.73046129682502325</v>
      </c>
      <c r="G32" s="19">
        <f t="shared" si="1"/>
        <v>0.71066115322693757</v>
      </c>
      <c r="H32" s="19">
        <f t="shared" si="1"/>
        <v>0.69444296580643294</v>
      </c>
      <c r="I32" s="106">
        <f t="shared" si="1"/>
        <v>0.886186989024355</v>
      </c>
      <c r="J32" s="50"/>
      <c r="K32" s="50"/>
      <c r="L32" s="50"/>
      <c r="M32" s="50"/>
      <c r="N32" s="50"/>
      <c r="O32" s="50"/>
      <c r="P32" s="50"/>
    </row>
    <row r="33" spans="1:16" s="13" customFormat="1" ht="32.25" customHeight="1">
      <c r="A33" s="56" t="s">
        <v>68</v>
      </c>
      <c r="B33" s="60" t="s">
        <v>69</v>
      </c>
      <c r="C33" s="19">
        <f t="shared" si="1"/>
        <v>1.3873459629842744</v>
      </c>
      <c r="D33" s="19">
        <f t="shared" si="1"/>
        <v>3.0554715340165206</v>
      </c>
      <c r="E33" s="19">
        <f t="shared" si="1"/>
        <v>1.9180231413490445</v>
      </c>
      <c r="F33" s="19">
        <f t="shared" si="1"/>
        <v>1.7946791111842986</v>
      </c>
      <c r="G33" s="19">
        <f t="shared" si="1"/>
        <v>1.53037770636601</v>
      </c>
      <c r="H33" s="19">
        <f t="shared" si="1"/>
        <v>2.6045068105196818</v>
      </c>
      <c r="I33" s="106">
        <f t="shared" si="1"/>
        <v>3.2276510827787201</v>
      </c>
      <c r="J33" s="50"/>
      <c r="K33" s="50"/>
      <c r="L33" s="50"/>
      <c r="M33" s="50"/>
      <c r="N33" s="50"/>
      <c r="O33" s="50"/>
      <c r="P33" s="50"/>
    </row>
    <row r="34" spans="1:16" s="13" customFormat="1" ht="32.25" customHeight="1">
      <c r="A34" s="56" t="s">
        <v>4</v>
      </c>
      <c r="B34" s="60" t="s">
        <v>94</v>
      </c>
      <c r="C34" s="19">
        <f t="shared" si="1"/>
        <v>31.838699543830646</v>
      </c>
      <c r="D34" s="19">
        <f t="shared" si="1"/>
        <v>27.452115185262389</v>
      </c>
      <c r="E34" s="19">
        <f t="shared" si="1"/>
        <v>13.312774612095268</v>
      </c>
      <c r="F34" s="19">
        <f t="shared" si="1"/>
        <v>12.653047541593176</v>
      </c>
      <c r="G34" s="19">
        <f t="shared" si="1"/>
        <v>19.726710803515541</v>
      </c>
      <c r="H34" s="19">
        <f t="shared" si="1"/>
        <v>14.905831092917385</v>
      </c>
      <c r="I34" s="106">
        <f t="shared" si="1"/>
        <v>3.4847288439972348</v>
      </c>
      <c r="J34" s="50"/>
      <c r="K34" s="50"/>
      <c r="L34" s="50"/>
      <c r="M34" s="50"/>
      <c r="N34" s="50"/>
      <c r="O34" s="50"/>
      <c r="P34" s="50"/>
    </row>
    <row r="35" spans="1:16" ht="32.25" customHeight="1">
      <c r="A35" s="56" t="s">
        <v>5</v>
      </c>
      <c r="B35" s="60" t="s">
        <v>54</v>
      </c>
      <c r="C35" s="19">
        <f t="shared" si="1"/>
        <v>36.176437644060101</v>
      </c>
      <c r="D35" s="19">
        <f t="shared" si="1"/>
        <v>36.377489169429765</v>
      </c>
      <c r="E35" s="19">
        <f t="shared" si="1"/>
        <v>39.851357320115056</v>
      </c>
      <c r="F35" s="19">
        <f t="shared" si="1"/>
        <v>31.442767115013819</v>
      </c>
      <c r="G35" s="19">
        <f t="shared" si="1"/>
        <v>28.722998852435815</v>
      </c>
      <c r="H35" s="19">
        <f t="shared" si="1"/>
        <v>33.004756510203826</v>
      </c>
      <c r="I35" s="106">
        <f t="shared" si="1"/>
        <v>47.985758372472546</v>
      </c>
      <c r="J35" s="50"/>
      <c r="K35" s="50"/>
      <c r="L35" s="50"/>
      <c r="M35" s="50"/>
      <c r="N35" s="50"/>
      <c r="O35" s="50"/>
      <c r="P35" s="50"/>
    </row>
    <row r="36" spans="1:16" ht="32.25" customHeight="1">
      <c r="A36" s="56" t="s">
        <v>6</v>
      </c>
      <c r="B36" s="60" t="s">
        <v>55</v>
      </c>
      <c r="C36" s="19">
        <f t="shared" si="1"/>
        <v>15.904886315013034</v>
      </c>
      <c r="D36" s="19">
        <f t="shared" si="1"/>
        <v>17.129506880679799</v>
      </c>
      <c r="E36" s="19">
        <f t="shared" si="1"/>
        <v>20.478480571382761</v>
      </c>
      <c r="F36" s="19">
        <f t="shared" si="1"/>
        <v>20.451414709209441</v>
      </c>
      <c r="G36" s="19">
        <f t="shared" si="1"/>
        <v>18.864587744542956</v>
      </c>
      <c r="H36" s="19">
        <f t="shared" si="1"/>
        <v>20.996959771796213</v>
      </c>
      <c r="I36" s="106">
        <f t="shared" si="1"/>
        <v>27.81835338286675</v>
      </c>
      <c r="J36" s="50"/>
      <c r="K36" s="50"/>
      <c r="L36" s="50"/>
      <c r="M36" s="50"/>
      <c r="N36" s="50"/>
      <c r="O36" s="50"/>
      <c r="P36" s="50"/>
    </row>
    <row r="37" spans="1:16" ht="32.25" customHeight="1">
      <c r="A37" s="56" t="s">
        <v>7</v>
      </c>
      <c r="B37" s="60" t="s">
        <v>32</v>
      </c>
      <c r="C37" s="19">
        <f t="shared" si="1"/>
        <v>0.61823769176536092</v>
      </c>
      <c r="D37" s="19">
        <f t="shared" si="1"/>
        <v>0.57021187109505012</v>
      </c>
      <c r="E37" s="19">
        <f t="shared" si="1"/>
        <v>0.2224865784447253</v>
      </c>
      <c r="F37" s="19">
        <f t="shared" si="1"/>
        <v>0.29011232544310772</v>
      </c>
      <c r="G37" s="19">
        <f t="shared" si="1"/>
        <v>8.4870392274159906E-2</v>
      </c>
      <c r="H37" s="19">
        <f t="shared" si="1"/>
        <v>0.10062004868492504</v>
      </c>
      <c r="I37" s="106">
        <f t="shared" si="1"/>
        <v>0.1535933669796877</v>
      </c>
      <c r="J37" s="50"/>
      <c r="K37" s="50"/>
      <c r="L37" s="50"/>
      <c r="M37" s="50"/>
      <c r="N37" s="50"/>
      <c r="O37" s="50"/>
      <c r="P37" s="50"/>
    </row>
    <row r="38" spans="1:16" ht="32.25" customHeight="1">
      <c r="A38" s="56" t="s">
        <v>8</v>
      </c>
      <c r="B38" s="60" t="s">
        <v>56</v>
      </c>
      <c r="C38" s="19">
        <f t="shared" si="1"/>
        <v>1.2302568255707071</v>
      </c>
      <c r="D38" s="19">
        <f t="shared" si="1"/>
        <v>1.2271302846575591</v>
      </c>
      <c r="E38" s="19">
        <f t="shared" si="1"/>
        <v>1.4388998479724961</v>
      </c>
      <c r="F38" s="19">
        <f t="shared" si="1"/>
        <v>1.3010438969686675</v>
      </c>
      <c r="G38" s="19">
        <f t="shared" si="1"/>
        <v>1.1026992116319927</v>
      </c>
      <c r="H38" s="19">
        <f t="shared" si="1"/>
        <v>1.2692283780861247</v>
      </c>
      <c r="I38" s="106">
        <f t="shared" si="1"/>
        <v>1.8560149822977066</v>
      </c>
      <c r="J38" s="50"/>
      <c r="K38" s="50"/>
      <c r="L38" s="50"/>
      <c r="M38" s="50"/>
      <c r="N38" s="50"/>
      <c r="O38" s="50"/>
      <c r="P38" s="50"/>
    </row>
    <row r="39" spans="1:16" ht="32.25" customHeight="1">
      <c r="A39" s="56" t="s">
        <v>9</v>
      </c>
      <c r="B39" s="60" t="s">
        <v>57</v>
      </c>
      <c r="C39" s="19">
        <f t="shared" si="1"/>
        <v>1.0832006148194784</v>
      </c>
      <c r="D39" s="19">
        <f t="shared" si="1"/>
        <v>1.2650594449676411</v>
      </c>
      <c r="E39" s="19">
        <f t="shared" si="1"/>
        <v>1.6046602159328658</v>
      </c>
      <c r="F39" s="19">
        <f t="shared" si="1"/>
        <v>1.4256794692332311</v>
      </c>
      <c r="G39" s="19">
        <f t="shared" si="1"/>
        <v>1.2916082371362243</v>
      </c>
      <c r="H39" s="19">
        <f t="shared" si="1"/>
        <v>1.3955393218910646</v>
      </c>
      <c r="I39" s="106">
        <f t="shared" si="1"/>
        <v>2.0263090239645933</v>
      </c>
      <c r="J39" s="50"/>
      <c r="K39" s="50"/>
      <c r="L39" s="50"/>
      <c r="M39" s="50"/>
      <c r="N39" s="50"/>
      <c r="O39" s="50"/>
      <c r="P39" s="50"/>
    </row>
    <row r="40" spans="1:16" ht="32.25" customHeight="1">
      <c r="A40" s="56" t="s">
        <v>70</v>
      </c>
      <c r="B40" s="60" t="s">
        <v>95</v>
      </c>
      <c r="C40" s="19">
        <f t="shared" si="1"/>
        <v>2.2286742216322963</v>
      </c>
      <c r="D40" s="19">
        <f t="shared" si="1"/>
        <v>2.2741519676344724</v>
      </c>
      <c r="E40" s="19">
        <f t="shared" si="1"/>
        <v>2.6275456039880645</v>
      </c>
      <c r="F40" s="19">
        <f t="shared" si="1"/>
        <v>2.1019058837924249</v>
      </c>
      <c r="G40" s="19">
        <f t="shared" si="1"/>
        <v>2.3491223829462387</v>
      </c>
      <c r="H40" s="19">
        <f t="shared" si="1"/>
        <v>1.8144164370308329</v>
      </c>
      <c r="I40" s="106">
        <f t="shared" si="1"/>
        <v>3.0478994542839053</v>
      </c>
      <c r="J40" s="50"/>
      <c r="K40" s="50"/>
      <c r="L40" s="50"/>
      <c r="M40" s="50"/>
      <c r="N40" s="50"/>
      <c r="O40" s="50"/>
      <c r="P40" s="50"/>
    </row>
    <row r="41" spans="1:16" ht="32.25" customHeight="1">
      <c r="A41" s="56" t="s">
        <v>10</v>
      </c>
      <c r="B41" s="60" t="s">
        <v>58</v>
      </c>
      <c r="C41" s="19">
        <f t="shared" si="1"/>
        <v>0.11615934298301449</v>
      </c>
      <c r="D41" s="19">
        <f t="shared" si="1"/>
        <v>0.1183745682504744</v>
      </c>
      <c r="E41" s="19">
        <f t="shared" si="1"/>
        <v>0.10862662302040302</v>
      </c>
      <c r="F41" s="19">
        <f t="shared" si="1"/>
        <v>7.9432717184213214E-2</v>
      </c>
      <c r="G41" s="19">
        <f t="shared" si="1"/>
        <v>7.0962395389459601E-2</v>
      </c>
      <c r="H41" s="19">
        <f t="shared" si="1"/>
        <v>8.5275695715374758E-2</v>
      </c>
      <c r="I41" s="106">
        <f t="shared" si="1"/>
        <v>0.12220183961345751</v>
      </c>
      <c r="J41" s="50"/>
      <c r="K41" s="50"/>
      <c r="L41" s="50"/>
      <c r="M41" s="50"/>
      <c r="N41" s="50"/>
      <c r="O41" s="50"/>
      <c r="P41" s="50"/>
    </row>
    <row r="42" spans="1:16" ht="32.25" customHeight="1">
      <c r="A42" s="56" t="s">
        <v>59</v>
      </c>
      <c r="B42" s="60" t="s">
        <v>60</v>
      </c>
      <c r="C42" s="19">
        <f t="shared" si="1"/>
        <v>1.2759077086801516E-2</v>
      </c>
      <c r="D42" s="19">
        <f t="shared" si="1"/>
        <v>1.8914833603488643E-2</v>
      </c>
      <c r="E42" s="19">
        <f t="shared" si="1"/>
        <v>2.2919376199833807E-2</v>
      </c>
      <c r="F42" s="19">
        <f t="shared" si="1"/>
        <v>1.808400972837557E-2</v>
      </c>
      <c r="G42" s="19">
        <f t="shared" si="1"/>
        <v>1.3037030320198241E-2</v>
      </c>
      <c r="H42" s="19">
        <f t="shared" si="1"/>
        <v>1.3894624704741917E-2</v>
      </c>
      <c r="I42" s="106">
        <f t="shared" si="1"/>
        <v>1.8247917616295833E-2</v>
      </c>
      <c r="J42" s="50"/>
      <c r="K42" s="50"/>
      <c r="L42" s="50"/>
      <c r="M42" s="50"/>
      <c r="N42" s="50"/>
      <c r="O42" s="50"/>
      <c r="P42" s="50"/>
    </row>
    <row r="43" spans="1:16" ht="32.25" customHeight="1">
      <c r="A43" s="56" t="s">
        <v>66</v>
      </c>
      <c r="B43" s="60" t="s">
        <v>67</v>
      </c>
      <c r="C43" s="19">
        <f t="shared" si="1"/>
        <v>0.46496181312864049</v>
      </c>
      <c r="D43" s="19">
        <f t="shared" si="1"/>
        <v>0.40851819395244393</v>
      </c>
      <c r="E43" s="19">
        <f t="shared" si="1"/>
        <v>0.39709261584002264</v>
      </c>
      <c r="F43" s="19">
        <f t="shared" si="1"/>
        <v>0.34948966295347439</v>
      </c>
      <c r="G43" s="19">
        <f t="shared" si="1"/>
        <v>0.27586425850933227</v>
      </c>
      <c r="H43" s="19">
        <f t="shared" si="1"/>
        <v>0.31319426044503568</v>
      </c>
      <c r="I43" s="106">
        <f t="shared" si="1"/>
        <v>0.44583638542185883</v>
      </c>
      <c r="J43" s="50"/>
      <c r="K43" s="50"/>
      <c r="L43" s="50"/>
      <c r="M43" s="50"/>
      <c r="N43" s="50"/>
      <c r="O43" s="50"/>
      <c r="P43" s="50"/>
    </row>
    <row r="44" spans="1:16" ht="32.25" customHeight="1">
      <c r="A44" s="66" t="s">
        <v>61</v>
      </c>
      <c r="B44" s="65" t="s">
        <v>62</v>
      </c>
      <c r="C44" s="132">
        <f t="shared" si="1"/>
        <v>0.11988134997886155</v>
      </c>
      <c r="D44" s="132">
        <f t="shared" si="1"/>
        <v>0.17923769323938762</v>
      </c>
      <c r="E44" s="132">
        <f t="shared" si="1"/>
        <v>0.16614089011067354</v>
      </c>
      <c r="F44" s="132">
        <f t="shared" si="1"/>
        <v>6.7652282185312579E-2</v>
      </c>
      <c r="G44" s="132">
        <f t="shared" si="1"/>
        <v>7.0304027465517407E-2</v>
      </c>
      <c r="H44" s="132">
        <f t="shared" si="1"/>
        <v>7.4476872828631843E-2</v>
      </c>
      <c r="I44" s="117">
        <f t="shared" si="1"/>
        <v>0.10894616344200662</v>
      </c>
      <c r="J44" s="50"/>
      <c r="K44" s="50"/>
      <c r="L44" s="50"/>
      <c r="M44" s="50"/>
      <c r="N44" s="50"/>
      <c r="O44" s="50"/>
      <c r="P44" s="50"/>
    </row>
    <row r="45" spans="1:16" ht="32.25" customHeight="1">
      <c r="A45" s="25"/>
      <c r="B45" s="22" t="s">
        <v>93</v>
      </c>
      <c r="C45" s="132">
        <f t="shared" si="1"/>
        <v>3.207322695663601</v>
      </c>
      <c r="D45" s="132">
        <f t="shared" si="1"/>
        <v>3.1918456391757104</v>
      </c>
      <c r="E45" s="132">
        <f t="shared" si="1"/>
        <v>4.3778295322986533</v>
      </c>
      <c r="F45" s="132">
        <f t="shared" si="1"/>
        <v>4.2097483800021012</v>
      </c>
      <c r="G45" s="132">
        <f t="shared" si="1"/>
        <v>3.5433387178026585</v>
      </c>
      <c r="H45" s="132">
        <f t="shared" si="1"/>
        <v>3.5470488941067093</v>
      </c>
      <c r="I45" s="117">
        <f t="shared" si="1"/>
        <v>4.975902222889232</v>
      </c>
      <c r="J45" s="50"/>
      <c r="K45" s="50"/>
      <c r="L45" s="50"/>
      <c r="M45" s="50"/>
      <c r="N45" s="50"/>
      <c r="O45" s="50"/>
      <c r="P45" s="50"/>
    </row>
    <row r="46" spans="1:16" s="28" customFormat="1" ht="32.25" customHeight="1">
      <c r="A46" s="26"/>
      <c r="B46" s="27" t="s">
        <v>33</v>
      </c>
      <c r="C46" s="144">
        <f t="shared" si="1"/>
        <v>98.043367094194949</v>
      </c>
      <c r="D46" s="144">
        <f t="shared" si="1"/>
        <v>98.15395680073388</v>
      </c>
      <c r="E46" s="144">
        <f t="shared" si="1"/>
        <v>98.64016297328574</v>
      </c>
      <c r="F46" s="144">
        <f t="shared" si="1"/>
        <v>98.551971392937602</v>
      </c>
      <c r="G46" s="144">
        <f t="shared" si="1"/>
        <v>98.463759414797892</v>
      </c>
      <c r="H46" s="144">
        <f t="shared" si="1"/>
        <v>98.475183580273381</v>
      </c>
      <c r="I46" s="129">
        <f t="shared" si="1"/>
        <v>98.213813502851906</v>
      </c>
      <c r="J46" s="93"/>
      <c r="K46" s="50"/>
    </row>
    <row r="47" spans="1:16" s="13" customFormat="1" ht="32.25" customHeight="1">
      <c r="A47" s="29" t="s">
        <v>25</v>
      </c>
      <c r="B47" s="22" t="s">
        <v>34</v>
      </c>
      <c r="C47" s="132">
        <f t="shared" ref="C47:I48" si="2">IFERROR(C24/C$25*100,"")</f>
        <v>1.9566329058050533</v>
      </c>
      <c r="D47" s="132">
        <f t="shared" si="2"/>
        <v>1.8460431992661448</v>
      </c>
      <c r="E47" s="132">
        <f t="shared" si="2"/>
        <v>1.3367556597578381</v>
      </c>
      <c r="F47" s="132">
        <f t="shared" si="2"/>
        <v>1.4244428545599108</v>
      </c>
      <c r="G47" s="132">
        <f t="shared" si="2"/>
        <v>1.508384098205634</v>
      </c>
      <c r="H47" s="132">
        <f t="shared" si="2"/>
        <v>1.4973467418064552</v>
      </c>
      <c r="I47" s="117">
        <f t="shared" si="2"/>
        <v>1.76070550774329</v>
      </c>
      <c r="J47" s="50"/>
      <c r="K47" s="50"/>
      <c r="L47" s="50"/>
      <c r="M47" s="50"/>
      <c r="N47" s="50"/>
      <c r="O47" s="50"/>
      <c r="P47" s="50"/>
    </row>
    <row r="48" spans="1:16" ht="32.25" customHeight="1">
      <c r="A48" s="30"/>
      <c r="B48" s="27" t="s">
        <v>35</v>
      </c>
      <c r="C48" s="144">
        <f t="shared" si="2"/>
        <v>100</v>
      </c>
      <c r="D48" s="144">
        <f t="shared" si="2"/>
        <v>100</v>
      </c>
      <c r="E48" s="144">
        <f t="shared" si="2"/>
        <v>100</v>
      </c>
      <c r="F48" s="144">
        <f t="shared" si="2"/>
        <v>100</v>
      </c>
      <c r="G48" s="144">
        <f t="shared" si="2"/>
        <v>100</v>
      </c>
      <c r="H48" s="144">
        <f t="shared" si="2"/>
        <v>100</v>
      </c>
      <c r="I48" s="129">
        <f t="shared" si="2"/>
        <v>100</v>
      </c>
      <c r="K48" s="50"/>
    </row>
    <row r="49" spans="1:11" ht="32.25" customHeight="1">
      <c r="A49" s="7"/>
      <c r="B49" s="32"/>
      <c r="C49" s="15"/>
      <c r="D49" s="15"/>
      <c r="E49" s="15"/>
      <c r="F49" s="15"/>
      <c r="G49" s="15"/>
    </row>
    <row r="50" spans="1:11" s="74" customFormat="1" ht="20.25" customHeight="1" thickBot="1">
      <c r="A50" s="190" t="s">
        <v>199</v>
      </c>
      <c r="B50" s="190"/>
      <c r="C50" s="190"/>
      <c r="D50" s="190"/>
      <c r="E50" s="190"/>
      <c r="F50" s="190"/>
      <c r="G50" s="190"/>
      <c r="H50" s="190"/>
      <c r="I50" s="190"/>
      <c r="J50" s="130"/>
      <c r="K50" s="71"/>
    </row>
    <row r="51" spans="1:11" ht="30.75" customHeight="1" thickTop="1">
      <c r="A51" s="220" t="s">
        <v>29</v>
      </c>
      <c r="B51" s="211" t="s">
        <v>30</v>
      </c>
      <c r="C51" s="212"/>
      <c r="D51" s="125" t="s">
        <v>114</v>
      </c>
      <c r="E51" s="126"/>
      <c r="F51" s="126"/>
      <c r="G51" s="126"/>
      <c r="H51" s="126"/>
      <c r="I51" s="127"/>
    </row>
    <row r="52" spans="1:11" ht="30.75" customHeight="1" thickBot="1">
      <c r="A52" s="221"/>
      <c r="B52" s="213"/>
      <c r="C52" s="214"/>
      <c r="D52" s="123" t="s">
        <v>108</v>
      </c>
      <c r="E52" s="123" t="s">
        <v>109</v>
      </c>
      <c r="F52" s="123" t="s">
        <v>110</v>
      </c>
      <c r="G52" s="123" t="s">
        <v>186</v>
      </c>
      <c r="H52" s="123" t="s">
        <v>187</v>
      </c>
      <c r="I52" s="142" t="s">
        <v>111</v>
      </c>
    </row>
    <row r="53" spans="1:11" ht="32.25" customHeight="1" thickTop="1">
      <c r="A53" s="56" t="s">
        <v>0</v>
      </c>
      <c r="B53" s="57" t="s">
        <v>53</v>
      </c>
      <c r="C53" s="108"/>
      <c r="D53" s="20">
        <f>IFERROR(D7/C7*100-100,"")</f>
        <v>3.5385993975590964</v>
      </c>
      <c r="E53" s="20">
        <f t="shared" ref="E53:I53" si="3">IFERROR(E7/D7*100-100,"")</f>
        <v>14.659557142435318</v>
      </c>
      <c r="F53" s="20">
        <f t="shared" si="3"/>
        <v>1.2108305831890078</v>
      </c>
      <c r="G53" s="20">
        <f t="shared" si="3"/>
        <v>-7.5850918368006006</v>
      </c>
      <c r="H53" s="19">
        <f t="shared" si="3"/>
        <v>0.25551351861344074</v>
      </c>
      <c r="I53" s="143">
        <f t="shared" si="3"/>
        <v>7.5502317865043551</v>
      </c>
    </row>
    <row r="54" spans="1:11" ht="32.25" customHeight="1">
      <c r="A54" s="56" t="s">
        <v>1</v>
      </c>
      <c r="B54" s="57" t="s">
        <v>31</v>
      </c>
      <c r="D54" s="20">
        <f t="shared" ref="D54:I69" si="4">IFERROR(D8/C8*100-100,"")</f>
        <v>57.382030532429042</v>
      </c>
      <c r="E54" s="20">
        <f t="shared" si="4"/>
        <v>163.81075257775086</v>
      </c>
      <c r="F54" s="20">
        <f t="shared" si="4"/>
        <v>122.35084955284407</v>
      </c>
      <c r="G54" s="20">
        <f t="shared" si="4"/>
        <v>2.5461637712520968</v>
      </c>
      <c r="H54" s="19">
        <f t="shared" si="4"/>
        <v>-17.249525243181068</v>
      </c>
      <c r="I54" s="106">
        <f t="shared" si="4"/>
        <v>-98.407038135431506</v>
      </c>
    </row>
    <row r="55" spans="1:11" ht="32.25" customHeight="1">
      <c r="A55" s="56" t="s">
        <v>2</v>
      </c>
      <c r="B55" s="57" t="s">
        <v>3</v>
      </c>
      <c r="D55" s="20">
        <f t="shared" si="4"/>
        <v>-10.655938417504458</v>
      </c>
      <c r="E55" s="20">
        <f t="shared" si="4"/>
        <v>-18.871500430839077</v>
      </c>
      <c r="F55" s="20">
        <f t="shared" si="4"/>
        <v>13.663423034478981</v>
      </c>
      <c r="G55" s="20">
        <f t="shared" si="4"/>
        <v>13.782025734615914</v>
      </c>
      <c r="H55" s="19">
        <f t="shared" si="4"/>
        <v>-8.672191292900095</v>
      </c>
      <c r="I55" s="106">
        <f t="shared" si="4"/>
        <v>-6.8899382949142591</v>
      </c>
    </row>
    <row r="56" spans="1:11" ht="32.25" customHeight="1">
      <c r="A56" s="56" t="s">
        <v>68</v>
      </c>
      <c r="B56" s="57" t="s">
        <v>69</v>
      </c>
      <c r="C56" s="108"/>
      <c r="D56" s="20">
        <f t="shared" si="4"/>
        <v>121.54887542652074</v>
      </c>
      <c r="E56" s="20">
        <f t="shared" si="4"/>
        <v>-45.583325323306845</v>
      </c>
      <c r="F56" s="20">
        <f t="shared" si="4"/>
        <v>9.9120347097095873</v>
      </c>
      <c r="G56" s="20">
        <f t="shared" si="4"/>
        <v>-0.27130921678282505</v>
      </c>
      <c r="H56" s="19">
        <f t="shared" si="4"/>
        <v>59.058139219615782</v>
      </c>
      <c r="I56" s="106">
        <f t="shared" si="4"/>
        <v>-9.5790821758211706</v>
      </c>
    </row>
    <row r="57" spans="1:11" ht="32.25" customHeight="1">
      <c r="A57" s="56" t="s">
        <v>4</v>
      </c>
      <c r="B57" s="57" t="s">
        <v>94</v>
      </c>
      <c r="D57" s="20">
        <f t="shared" si="4"/>
        <v>-13.264562287481709</v>
      </c>
      <c r="E57" s="20">
        <f t="shared" si="4"/>
        <v>-57.961310853420855</v>
      </c>
      <c r="F57" s="20">
        <f t="shared" si="4"/>
        <v>11.644888132314463</v>
      </c>
      <c r="G57" s="20">
        <f t="shared" si="4"/>
        <v>82.334072900507238</v>
      </c>
      <c r="H57" s="19">
        <f t="shared" si="4"/>
        <v>-29.37953897113546</v>
      </c>
      <c r="I57" s="106">
        <f t="shared" si="4"/>
        <v>-82.942294083475986</v>
      </c>
    </row>
    <row r="58" spans="1:11" ht="32.25" customHeight="1">
      <c r="A58" s="56" t="s">
        <v>5</v>
      </c>
      <c r="B58" s="57" t="s">
        <v>54</v>
      </c>
      <c r="D58" s="20">
        <f t="shared" si="4"/>
        <v>1.1539866749103993</v>
      </c>
      <c r="E58" s="20">
        <f t="shared" si="4"/>
        <v>-5.0342950967404647</v>
      </c>
      <c r="F58" s="20">
        <f t="shared" si="4"/>
        <v>-7.3191680409089486</v>
      </c>
      <c r="G58" s="20">
        <f t="shared" si="4"/>
        <v>6.8359256051261639</v>
      </c>
      <c r="H58" s="19">
        <f t="shared" si="4"/>
        <v>7.3929526082461479</v>
      </c>
      <c r="I58" s="106">
        <f t="shared" si="4"/>
        <v>6.0824784807310408</v>
      </c>
    </row>
    <row r="59" spans="1:11" ht="32.25" customHeight="1">
      <c r="A59" s="56" t="s">
        <v>6</v>
      </c>
      <c r="B59" s="57" t="s">
        <v>55</v>
      </c>
      <c r="D59" s="20">
        <f t="shared" si="4"/>
        <v>8.3403849205457874</v>
      </c>
      <c r="E59" s="20">
        <f t="shared" si="4"/>
        <v>3.6356720612496787</v>
      </c>
      <c r="F59" s="20">
        <f t="shared" si="4"/>
        <v>17.310775924572084</v>
      </c>
      <c r="G59" s="20">
        <f t="shared" si="4"/>
        <v>7.8778441085166406</v>
      </c>
      <c r="H59" s="19">
        <f t="shared" si="4"/>
        <v>4.0250966334515397</v>
      </c>
      <c r="I59" s="106">
        <f t="shared" si="4"/>
        <v>-3.3319780980797731</v>
      </c>
    </row>
    <row r="60" spans="1:11" ht="32.25" customHeight="1">
      <c r="A60" s="56" t="s">
        <v>7</v>
      </c>
      <c r="B60" s="57" t="s">
        <v>32</v>
      </c>
      <c r="D60" s="20">
        <f t="shared" si="4"/>
        <v>-7.2194680350597764</v>
      </c>
      <c r="E60" s="20">
        <f t="shared" si="4"/>
        <v>-66.176078234590136</v>
      </c>
      <c r="F60" s="20">
        <f t="shared" si="4"/>
        <v>53.170329098078781</v>
      </c>
      <c r="G60" s="20">
        <f t="shared" si="4"/>
        <v>-65.786435384534073</v>
      </c>
      <c r="H60" s="19">
        <f t="shared" si="4"/>
        <v>10.804486179180884</v>
      </c>
      <c r="I60" s="106">
        <f t="shared" si="4"/>
        <v>11.37706415641307</v>
      </c>
    </row>
    <row r="61" spans="1:11" ht="32.25" customHeight="1">
      <c r="A61" s="56" t="s">
        <v>8</v>
      </c>
      <c r="B61" s="57" t="s">
        <v>56</v>
      </c>
      <c r="D61" s="20">
        <f t="shared" si="4"/>
        <v>0.33927847162600244</v>
      </c>
      <c r="E61" s="20">
        <f t="shared" si="4"/>
        <v>1.6474038356916623</v>
      </c>
      <c r="F61" s="20">
        <f t="shared" si="4"/>
        <v>6.212019260659801</v>
      </c>
      <c r="G61" s="20">
        <f t="shared" si="4"/>
        <v>-0.87723468183678222</v>
      </c>
      <c r="H61" s="19">
        <f t="shared" si="4"/>
        <v>7.5750954772029928</v>
      </c>
      <c r="I61" s="106">
        <f t="shared" si="4"/>
        <v>6.6963424655157411</v>
      </c>
    </row>
    <row r="62" spans="1:11" ht="32.25" customHeight="1">
      <c r="A62" s="56" t="s">
        <v>9</v>
      </c>
      <c r="B62" s="57" t="s">
        <v>57</v>
      </c>
      <c r="D62" s="20">
        <f t="shared" si="4"/>
        <v>17.483835966343747</v>
      </c>
      <c r="E62" s="20">
        <f t="shared" si="4"/>
        <v>9.9584350827661439</v>
      </c>
      <c r="F62" s="20">
        <f t="shared" si="4"/>
        <v>4.3640904667644236</v>
      </c>
      <c r="G62" s="20">
        <f t="shared" si="4"/>
        <v>5.9539631052956139</v>
      </c>
      <c r="H62" s="19">
        <f t="shared" si="4"/>
        <v>0.9811477499380743</v>
      </c>
      <c r="I62" s="106">
        <f t="shared" si="4"/>
        <v>5.942795562201141</v>
      </c>
    </row>
    <row r="63" spans="1:11" ht="32.25" customHeight="1">
      <c r="A63" s="56" t="s">
        <v>70</v>
      </c>
      <c r="B63" s="57" t="s">
        <v>95</v>
      </c>
      <c r="D63" s="20">
        <f t="shared" si="4"/>
        <v>2.647641565506234</v>
      </c>
      <c r="E63" s="20">
        <f t="shared" si="4"/>
        <v>0.15835390372834013</v>
      </c>
      <c r="F63" s="20">
        <f t="shared" si="4"/>
        <v>-6.0330164107092514</v>
      </c>
      <c r="G63" s="20">
        <f t="shared" si="4"/>
        <v>30.707549390486264</v>
      </c>
      <c r="H63" s="19">
        <f t="shared" si="4"/>
        <v>-27.812772993993178</v>
      </c>
      <c r="I63" s="106">
        <f t="shared" si="4"/>
        <v>22.566417654179105</v>
      </c>
    </row>
    <row r="64" spans="1:11" ht="32.25" customHeight="1">
      <c r="A64" s="56" t="s">
        <v>10</v>
      </c>
      <c r="B64" s="57" t="s">
        <v>58</v>
      </c>
      <c r="D64" s="20">
        <f t="shared" si="4"/>
        <v>2.5133306021878639</v>
      </c>
      <c r="E64" s="20">
        <f t="shared" si="4"/>
        <v>-20.45108346859611</v>
      </c>
      <c r="F64" s="20">
        <f t="shared" si="4"/>
        <v>-14.103508945278847</v>
      </c>
      <c r="G64" s="20">
        <f t="shared" si="4"/>
        <v>4.4809573432551275</v>
      </c>
      <c r="H64" s="19">
        <f t="shared" si="4"/>
        <v>12.311967357317229</v>
      </c>
      <c r="I64" s="106">
        <f t="shared" si="4"/>
        <v>4.5587302867519526</v>
      </c>
    </row>
    <row r="65" spans="1:9" ht="32.25" customHeight="1">
      <c r="A65" s="56" t="s">
        <v>59</v>
      </c>
      <c r="B65" s="57" t="s">
        <v>60</v>
      </c>
      <c r="D65" s="20">
        <f t="shared" si="4"/>
        <v>49.128052528333711</v>
      </c>
      <c r="E65" s="20">
        <f t="shared" si="4"/>
        <v>5.0404724745086895</v>
      </c>
      <c r="F65" s="20">
        <f t="shared" si="4"/>
        <v>-7.3161168025996659</v>
      </c>
      <c r="G65" s="20">
        <f t="shared" si="4"/>
        <v>-15.687447244387357</v>
      </c>
      <c r="H65" s="19">
        <f t="shared" si="4"/>
        <v>-0.39132206400283565</v>
      </c>
      <c r="I65" s="106">
        <f t="shared" si="4"/>
        <v>-4.1759949029622874</v>
      </c>
    </row>
    <row r="66" spans="1:9" ht="32.25" customHeight="1">
      <c r="A66" s="56" t="s">
        <v>66</v>
      </c>
      <c r="B66" s="57" t="s">
        <v>67</v>
      </c>
      <c r="D66" s="20">
        <f t="shared" si="4"/>
        <v>-11.616702689482466</v>
      </c>
      <c r="E66" s="20">
        <f t="shared" si="4"/>
        <v>-15.73702149162682</v>
      </c>
      <c r="F66" s="20">
        <f t="shared" si="4"/>
        <v>3.3843510860612582</v>
      </c>
      <c r="G66" s="20">
        <f t="shared" si="4"/>
        <v>-7.6856116757174675</v>
      </c>
      <c r="H66" s="19">
        <f t="shared" si="4"/>
        <v>6.1078192909776163</v>
      </c>
      <c r="I66" s="106">
        <f t="shared" si="4"/>
        <v>3.8650758571482839</v>
      </c>
    </row>
    <row r="67" spans="1:9" ht="32.25" customHeight="1">
      <c r="A67" s="66" t="s">
        <v>61</v>
      </c>
      <c r="B67" s="77" t="s">
        <v>62</v>
      </c>
      <c r="C67" s="82"/>
      <c r="D67" s="24">
        <f t="shared" si="4"/>
        <v>50.402066612144324</v>
      </c>
      <c r="E67" s="23">
        <f t="shared" si="4"/>
        <v>-19.646724417975065</v>
      </c>
      <c r="F67" s="24">
        <f t="shared" si="4"/>
        <v>-52.168037356445076</v>
      </c>
      <c r="G67" s="24">
        <f t="shared" si="4"/>
        <v>21.53631054131084</v>
      </c>
      <c r="H67" s="132">
        <f t="shared" si="4"/>
        <v>-0.9920066203274871</v>
      </c>
      <c r="I67" s="131">
        <f t="shared" si="4"/>
        <v>6.7329065555609873</v>
      </c>
    </row>
    <row r="68" spans="1:9" ht="32.25" customHeight="1">
      <c r="A68" s="25"/>
      <c r="B68" s="78" t="s">
        <v>93</v>
      </c>
      <c r="C68" s="82"/>
      <c r="D68" s="24">
        <f t="shared" si="4"/>
        <v>0.10950304556875778</v>
      </c>
      <c r="E68" s="24">
        <f t="shared" si="4"/>
        <v>18.897675703651046</v>
      </c>
      <c r="F68" s="24">
        <f t="shared" si="4"/>
        <v>12.956070109652515</v>
      </c>
      <c r="G68" s="24">
        <f t="shared" si="4"/>
        <v>-1.5615364623574663</v>
      </c>
      <c r="H68" s="24">
        <f t="shared" si="4"/>
        <v>-6.4414384814286905</v>
      </c>
      <c r="I68" s="117">
        <f t="shared" si="4"/>
        <v>2.355808008349868</v>
      </c>
    </row>
    <row r="69" spans="1:9" ht="32.25" customHeight="1">
      <c r="A69" s="34"/>
      <c r="B69" s="79" t="s">
        <v>33</v>
      </c>
      <c r="C69" s="82"/>
      <c r="D69" s="33">
        <f t="shared" si="4"/>
        <v>0.70839544167458257</v>
      </c>
      <c r="E69" s="33">
        <f t="shared" si="4"/>
        <v>-12.883109026104449</v>
      </c>
      <c r="F69" s="33">
        <f t="shared" si="4"/>
        <v>17.361004351961199</v>
      </c>
      <c r="G69" s="88">
        <f t="shared" si="4"/>
        <v>16.847491265848973</v>
      </c>
      <c r="H69" s="88">
        <f t="shared" si="4"/>
        <v>-6.5284560748707037</v>
      </c>
      <c r="I69" s="129">
        <f t="shared" si="4"/>
        <v>-27.229794138921051</v>
      </c>
    </row>
    <row r="70" spans="1:9" ht="32.25" customHeight="1">
      <c r="A70" s="21" t="s">
        <v>25</v>
      </c>
      <c r="B70" s="80" t="s">
        <v>34</v>
      </c>
      <c r="C70" s="82"/>
      <c r="D70" s="24">
        <f t="shared" ref="D70:I71" si="5">IFERROR(D24/C24*100-100,"")</f>
        <v>-5.0907395385695224</v>
      </c>
      <c r="E70" s="24">
        <f t="shared" si="5"/>
        <v>-37.227912670617279</v>
      </c>
      <c r="F70" s="24">
        <f t="shared" si="5"/>
        <v>25.171449628233674</v>
      </c>
      <c r="G70" s="24">
        <f t="shared" si="5"/>
        <v>23.844068089615561</v>
      </c>
      <c r="H70" s="24">
        <f t="shared" si="5"/>
        <v>-7.2231833057855681</v>
      </c>
      <c r="I70" s="117">
        <f t="shared" si="5"/>
        <v>-14.202986842968741</v>
      </c>
    </row>
    <row r="71" spans="1:9" ht="32.25" customHeight="1">
      <c r="A71" s="30"/>
      <c r="B71" s="81" t="s">
        <v>35</v>
      </c>
      <c r="C71" s="82"/>
      <c r="D71" s="31">
        <f t="shared" si="5"/>
        <v>0.59492765839905815</v>
      </c>
      <c r="E71" s="31">
        <f t="shared" si="5"/>
        <v>-13.31251596186253</v>
      </c>
      <c r="F71" s="31">
        <f t="shared" si="5"/>
        <v>17.466027643720409</v>
      </c>
      <c r="G71" s="31">
        <f t="shared" si="5"/>
        <v>16.952172911222689</v>
      </c>
      <c r="H71" s="31">
        <f t="shared" si="5"/>
        <v>-6.5392997650901634</v>
      </c>
      <c r="I71" s="129">
        <f t="shared" si="5"/>
        <v>-27.036135490900676</v>
      </c>
    </row>
    <row r="73" spans="1:9" ht="12.75" customHeight="1">
      <c r="A73" s="209" t="s">
        <v>65</v>
      </c>
      <c r="B73" s="210"/>
      <c r="C73" s="210"/>
      <c r="D73" s="210"/>
      <c r="E73" s="210"/>
    </row>
    <row r="74" spans="1:9">
      <c r="A74" s="64" t="s">
        <v>104</v>
      </c>
      <c r="B74" s="43"/>
      <c r="C74" s="43"/>
      <c r="D74" s="43"/>
      <c r="E74" s="44"/>
    </row>
    <row r="75" spans="1:9">
      <c r="A75" s="64" t="s">
        <v>96</v>
      </c>
      <c r="B75" s="45"/>
      <c r="C75" s="45"/>
      <c r="D75" s="101"/>
      <c r="E75" s="101"/>
    </row>
    <row r="76" spans="1:9">
      <c r="A76" s="64" t="s">
        <v>350</v>
      </c>
      <c r="B76" s="45"/>
      <c r="C76" s="45"/>
      <c r="D76" s="101"/>
      <c r="E76" s="101"/>
    </row>
    <row r="77" spans="1:9">
      <c r="A77" s="64" t="s">
        <v>343</v>
      </c>
      <c r="B77" s="45"/>
      <c r="C77" s="45"/>
      <c r="D77" s="101"/>
      <c r="E77" s="101"/>
    </row>
    <row r="78" spans="1:9">
      <c r="A78" s="18" t="s">
        <v>91</v>
      </c>
      <c r="B78" s="45"/>
      <c r="C78" s="45"/>
      <c r="D78" s="101"/>
      <c r="E78" s="101"/>
    </row>
    <row r="79" spans="1:9">
      <c r="A79" s="18" t="s">
        <v>92</v>
      </c>
      <c r="B79" s="45"/>
      <c r="C79" s="45"/>
      <c r="D79" s="101"/>
      <c r="E79" s="101"/>
    </row>
    <row r="80" spans="1:9">
      <c r="A80" s="9" t="s">
        <v>37</v>
      </c>
      <c r="B80" s="104"/>
      <c r="C80" s="104"/>
      <c r="D80" s="46"/>
      <c r="E80" s="46"/>
    </row>
    <row r="81" spans="1:8">
      <c r="A81" s="9" t="s">
        <v>86</v>
      </c>
      <c r="B81" s="46"/>
      <c r="C81" s="46"/>
      <c r="D81" s="46"/>
      <c r="E81" s="46"/>
    </row>
    <row r="82" spans="1:8">
      <c r="A82" s="18" t="s">
        <v>83</v>
      </c>
      <c r="B82" s="101"/>
      <c r="C82" s="18"/>
      <c r="D82" s="101"/>
      <c r="E82" s="101"/>
    </row>
    <row r="83" spans="1:8">
      <c r="A83" s="18" t="s">
        <v>23</v>
      </c>
      <c r="B83" s="101"/>
      <c r="C83" s="18"/>
      <c r="D83" s="101"/>
      <c r="E83" s="101"/>
      <c r="F83" s="101"/>
      <c r="G83" s="87"/>
      <c r="H83" s="87"/>
    </row>
    <row r="84" spans="1:8">
      <c r="B84" s="101"/>
      <c r="C84" s="18"/>
      <c r="D84" s="101"/>
      <c r="E84" s="101"/>
      <c r="F84" s="87"/>
      <c r="G84" s="87"/>
    </row>
    <row r="85" spans="1:8">
      <c r="B85" s="101"/>
      <c r="C85" s="18"/>
      <c r="D85" s="101"/>
      <c r="E85" s="101"/>
      <c r="F85" s="87"/>
      <c r="G85" s="87"/>
    </row>
    <row r="86" spans="1:8">
      <c r="A86" s="18"/>
      <c r="B86" s="101"/>
      <c r="C86" s="10"/>
      <c r="D86" s="101"/>
      <c r="E86" s="101"/>
    </row>
    <row r="87" spans="1:8">
      <c r="A87" s="18"/>
      <c r="B87" s="101"/>
      <c r="C87" s="101"/>
      <c r="D87" s="101"/>
      <c r="E87" s="101"/>
    </row>
    <row r="88" spans="1:8">
      <c r="A88" s="61"/>
      <c r="B88" s="101"/>
      <c r="C88" s="101"/>
      <c r="D88" s="101"/>
      <c r="E88" s="101"/>
    </row>
    <row r="89" spans="1:8">
      <c r="A89" s="64"/>
      <c r="B89" s="45"/>
      <c r="C89" s="45"/>
      <c r="D89" s="101"/>
      <c r="E89" s="101"/>
    </row>
    <row r="90" spans="1:8">
      <c r="A90" s="64"/>
      <c r="B90" s="45"/>
      <c r="C90" s="45"/>
      <c r="D90" s="101"/>
      <c r="E90" s="101"/>
    </row>
    <row r="91" spans="1:8">
      <c r="A91" s="64"/>
      <c r="B91" s="45"/>
      <c r="C91" s="45"/>
      <c r="D91" s="101"/>
      <c r="E91" s="101"/>
    </row>
    <row r="92" spans="1:8">
      <c r="A92" s="64"/>
      <c r="B92" s="45"/>
      <c r="C92" s="45"/>
      <c r="D92" s="101"/>
      <c r="E92" s="101"/>
    </row>
    <row r="93" spans="1:8">
      <c r="A93" s="64"/>
      <c r="B93" s="45"/>
      <c r="C93" s="45"/>
      <c r="D93" s="101"/>
      <c r="E93" s="101"/>
    </row>
    <row r="94" spans="1:8">
      <c r="A94" s="91"/>
      <c r="B94" s="101"/>
      <c r="C94" s="59"/>
      <c r="D94" s="101"/>
      <c r="E94" s="101"/>
    </row>
    <row r="95" spans="1:8">
      <c r="A95" s="7"/>
      <c r="B95" s="101"/>
      <c r="C95" s="18"/>
      <c r="D95" s="101"/>
      <c r="E95" s="101"/>
    </row>
    <row r="96" spans="1:8">
      <c r="B96" s="101"/>
      <c r="C96" s="18"/>
      <c r="D96" s="101"/>
      <c r="E96" s="101"/>
    </row>
    <row r="97" spans="1:5">
      <c r="B97" s="101"/>
      <c r="C97" s="18"/>
      <c r="D97" s="101"/>
      <c r="E97" s="101"/>
    </row>
    <row r="98" spans="1:5">
      <c r="B98" s="101"/>
      <c r="C98" s="18"/>
      <c r="D98" s="101"/>
      <c r="E98" s="101"/>
    </row>
    <row r="99" spans="1:5">
      <c r="A99" s="61"/>
      <c r="B99" s="101"/>
      <c r="C99" s="101"/>
      <c r="D99" s="101"/>
      <c r="E99" s="101"/>
    </row>
    <row r="100" spans="1:5">
      <c r="A100" s="61"/>
      <c r="B100" s="101"/>
      <c r="C100" s="101"/>
      <c r="D100" s="101"/>
      <c r="E100" s="101"/>
    </row>
  </sheetData>
  <mergeCells count="9">
    <mergeCell ref="A73:E73"/>
    <mergeCell ref="A5:A6"/>
    <mergeCell ref="A28:A29"/>
    <mergeCell ref="A51:A52"/>
    <mergeCell ref="B28:B29"/>
    <mergeCell ref="C28:I28"/>
    <mergeCell ref="B51:C52"/>
    <mergeCell ref="B5:B6"/>
    <mergeCell ref="C5:I5"/>
  </mergeCells>
  <hyperlinks>
    <hyperlink ref="K2" location="Índice!A1" display="Índice"/>
    <hyperlink ref="K3" location="'Cuadro 4-Colón'!A27" display="Composición "/>
    <hyperlink ref="K4" location="'Cuadro 4-Colón'!A50" display="Variación porcentual"/>
  </hyperlink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rowBreaks count="2" manualBreakCount="2">
    <brk id="25" max="8" man="1"/>
    <brk id="49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P2"/>
  <sheetViews>
    <sheetView zoomScaleNormal="100" workbookViewId="0"/>
  </sheetViews>
  <sheetFormatPr baseColWidth="10" defaultRowHeight="15"/>
  <cols>
    <col min="1" max="16384" width="11.42578125" style="115"/>
  </cols>
  <sheetData>
    <row r="2" spans="16:16">
      <c r="P2" s="116" t="s">
        <v>42</v>
      </c>
    </row>
  </sheetData>
  <hyperlinks>
    <hyperlink ref="P2" location="Índice!A1" display="Índice"/>
  </hyperlinks>
  <pageMargins left="0.7" right="0.7" top="0.75" bottom="0.75" header="0.3" footer="0.3"/>
  <pageSetup scale="57" orientation="portrait" r:id="rId1"/>
  <colBreaks count="1" manualBreakCount="1">
    <brk id="14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30</vt:i4>
      </vt:variant>
    </vt:vector>
  </HeadingPairs>
  <TitlesOfParts>
    <vt:vector size="62" baseType="lpstr">
      <vt:lpstr>Índice</vt:lpstr>
      <vt:lpstr>Cuadro 1</vt:lpstr>
      <vt:lpstr>Bocas del Toro</vt:lpstr>
      <vt:lpstr>Cuadro 2-Bocas del Toro</vt:lpstr>
      <vt:lpstr>Coclé</vt:lpstr>
      <vt:lpstr>Cuadro 3-Coclé</vt:lpstr>
      <vt:lpstr>Colón</vt:lpstr>
      <vt:lpstr>Cuadro 4-Colón</vt:lpstr>
      <vt:lpstr>Chiriquí</vt:lpstr>
      <vt:lpstr>Cuadro 5-Chiriquí</vt:lpstr>
      <vt:lpstr>Darién</vt:lpstr>
      <vt:lpstr>Cuadro 6-Darién</vt:lpstr>
      <vt:lpstr>Herrera</vt:lpstr>
      <vt:lpstr>Cuadro 7-Herrera</vt:lpstr>
      <vt:lpstr>Los Santos</vt:lpstr>
      <vt:lpstr>Cuadro 8-Los Santos</vt:lpstr>
      <vt:lpstr>Panamá</vt:lpstr>
      <vt:lpstr>Cuadro 9-Panamá</vt:lpstr>
      <vt:lpstr>Panamá Oeste</vt:lpstr>
      <vt:lpstr>Cuadro 10-Panamá Oeste</vt:lpstr>
      <vt:lpstr>Veraguas</vt:lpstr>
      <vt:lpstr>Cuadro 11-Veraguas</vt:lpstr>
      <vt:lpstr>Cuadro 12  2018</vt:lpstr>
      <vt:lpstr>Cuadro 13  2019</vt:lpstr>
      <vt:lpstr>Cuadro 14  2020</vt:lpstr>
      <vt:lpstr>Cuadro 15  2021</vt:lpstr>
      <vt:lpstr>Cuadro 16  2022</vt:lpstr>
      <vt:lpstr>Cuadro 17  2023</vt:lpstr>
      <vt:lpstr>Cuadro 18  2024</vt:lpstr>
      <vt:lpstr>Cuadro 19-PIB-Corriente 2018-24</vt:lpstr>
      <vt:lpstr>DATOS</vt:lpstr>
      <vt:lpstr>DICCIONARIO</vt:lpstr>
      <vt:lpstr>'Bocas del Toro'!Área_de_impresión</vt:lpstr>
      <vt:lpstr>Chiriquí!Área_de_impresión</vt:lpstr>
      <vt:lpstr>Coclé!Área_de_impresión</vt:lpstr>
      <vt:lpstr>Colón!Área_de_impresión</vt:lpstr>
      <vt:lpstr>'Cuadro 1'!Área_de_impresión</vt:lpstr>
      <vt:lpstr>'Cuadro 10-Panamá Oeste'!Área_de_impresión</vt:lpstr>
      <vt:lpstr>'Cuadro 11-Veraguas'!Área_de_impresión</vt:lpstr>
      <vt:lpstr>'Cuadro 12  2018'!Área_de_impresión</vt:lpstr>
      <vt:lpstr>'Cuadro 13  2019'!Área_de_impresión</vt:lpstr>
      <vt:lpstr>'Cuadro 14  2020'!Área_de_impresión</vt:lpstr>
      <vt:lpstr>'Cuadro 15  2021'!Área_de_impresión</vt:lpstr>
      <vt:lpstr>'Cuadro 16  2022'!Área_de_impresión</vt:lpstr>
      <vt:lpstr>'Cuadro 17  2023'!Área_de_impresión</vt:lpstr>
      <vt:lpstr>'Cuadro 18  2024'!Área_de_impresión</vt:lpstr>
      <vt:lpstr>'Cuadro 19-PIB-Corriente 2018-24'!Área_de_impresión</vt:lpstr>
      <vt:lpstr>'Cuadro 2-Bocas del Toro'!Área_de_impresión</vt:lpstr>
      <vt:lpstr>'Cuadro 3-Coclé'!Área_de_impresión</vt:lpstr>
      <vt:lpstr>'Cuadro 4-Colón'!Área_de_impresión</vt:lpstr>
      <vt:lpstr>'Cuadro 5-Chiriquí'!Área_de_impresión</vt:lpstr>
      <vt:lpstr>'Cuadro 6-Darién'!Área_de_impresión</vt:lpstr>
      <vt:lpstr>'Cuadro 7-Herrera'!Área_de_impresión</vt:lpstr>
      <vt:lpstr>'Cuadro 8-Los Santos'!Área_de_impresión</vt:lpstr>
      <vt:lpstr>'Cuadro 9-Panamá'!Área_de_impresión</vt:lpstr>
      <vt:lpstr>Darién!Área_de_impresión</vt:lpstr>
      <vt:lpstr>Herrera!Área_de_impresión</vt:lpstr>
      <vt:lpstr>Índice!Área_de_impresión</vt:lpstr>
      <vt:lpstr>'Los Santos'!Área_de_impresión</vt:lpstr>
      <vt:lpstr>Panamá!Área_de_impresión</vt:lpstr>
      <vt:lpstr>'Panamá Oeste'!Área_de_impresión</vt:lpstr>
      <vt:lpstr>Veraguas!Área_de_impresión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DIEGO PEREZ</cp:lastModifiedBy>
  <cp:lastPrinted>2025-11-18T18:10:28Z</cp:lastPrinted>
  <dcterms:created xsi:type="dcterms:W3CDTF">2018-12-26T20:43:17Z</dcterms:created>
  <dcterms:modified xsi:type="dcterms:W3CDTF">2025-11-18T20:09:41Z</dcterms:modified>
</cp:coreProperties>
</file>