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0055" windowHeight="7170"/>
  </bookViews>
  <sheets>
    <sheet name="45" sheetId="1" r:id="rId1"/>
  </sheets>
  <definedNames>
    <definedName name="_xlnm.Print_Titles" localSheetId="0">'45'!$1:$7</definedName>
  </definedNames>
  <calcPr calcId="124519"/>
</workbook>
</file>

<file path=xl/calcChain.xml><?xml version="1.0" encoding="utf-8"?>
<calcChain xmlns="http://schemas.openxmlformats.org/spreadsheetml/2006/main">
  <c r="G95" i="1"/>
  <c r="F95"/>
  <c r="E91"/>
  <c r="G77"/>
  <c r="F77"/>
  <c r="E77"/>
  <c r="G76"/>
  <c r="F76"/>
  <c r="E76"/>
  <c r="D76"/>
  <c r="C76"/>
  <c r="F75"/>
  <c r="E75"/>
  <c r="D75"/>
  <c r="C75"/>
  <c r="G72"/>
  <c r="F72"/>
  <c r="E72"/>
  <c r="D72"/>
  <c r="C72"/>
  <c r="G67"/>
  <c r="F67"/>
  <c r="E67"/>
  <c r="D67"/>
  <c r="C67"/>
  <c r="G66"/>
  <c r="F66"/>
  <c r="E66"/>
  <c r="D66"/>
  <c r="G64"/>
  <c r="F64"/>
  <c r="E64"/>
  <c r="D64"/>
  <c r="C64"/>
  <c r="G61"/>
  <c r="F61"/>
  <c r="E61"/>
  <c r="C61"/>
  <c r="G60"/>
  <c r="F60"/>
  <c r="E60"/>
  <c r="G58"/>
  <c r="F58"/>
  <c r="E58"/>
  <c r="D58"/>
  <c r="C58"/>
  <c r="G55"/>
  <c r="F55"/>
  <c r="E55"/>
  <c r="D55"/>
  <c r="C55"/>
  <c r="E52"/>
  <c r="F50"/>
  <c r="E50"/>
  <c r="D50"/>
  <c r="C50"/>
  <c r="G48"/>
  <c r="F48"/>
  <c r="E48"/>
  <c r="D48"/>
  <c r="C48"/>
  <c r="G46"/>
  <c r="E46"/>
  <c r="G44"/>
  <c r="E44"/>
  <c r="C44"/>
  <c r="G41"/>
  <c r="F41"/>
  <c r="E41"/>
  <c r="D41"/>
  <c r="C41"/>
  <c r="G37"/>
  <c r="F37"/>
  <c r="E37"/>
  <c r="D37"/>
  <c r="C37"/>
  <c r="G35"/>
  <c r="F35"/>
  <c r="E35"/>
  <c r="D35"/>
  <c r="C35"/>
  <c r="G34"/>
  <c r="F34"/>
  <c r="E34"/>
  <c r="D34"/>
  <c r="C34"/>
  <c r="G30"/>
  <c r="F30"/>
  <c r="E30"/>
  <c r="D30"/>
  <c r="C30"/>
  <c r="G26"/>
  <c r="F26"/>
  <c r="E26"/>
  <c r="D26"/>
  <c r="C26"/>
  <c r="G23"/>
  <c r="F23"/>
  <c r="E23"/>
  <c r="D23"/>
  <c r="C23"/>
  <c r="G22"/>
  <c r="F22"/>
  <c r="E22"/>
  <c r="D22"/>
  <c r="C22"/>
  <c r="G18"/>
  <c r="F18"/>
  <c r="E18"/>
  <c r="D18"/>
  <c r="G15"/>
  <c r="E15"/>
  <c r="G13"/>
  <c r="F13"/>
  <c r="E13"/>
  <c r="D13"/>
  <c r="C13"/>
  <c r="G11"/>
  <c r="F11"/>
  <c r="E11"/>
  <c r="D11"/>
  <c r="C11"/>
  <c r="G9"/>
  <c r="F9"/>
  <c r="E9"/>
  <c r="D9"/>
  <c r="C9"/>
  <c r="C8" l="1"/>
  <c r="E8"/>
  <c r="G8"/>
  <c r="D8"/>
  <c r="F8"/>
</calcChain>
</file>

<file path=xl/sharedStrings.xml><?xml version="1.0" encoding="utf-8"?>
<sst xmlns="http://schemas.openxmlformats.org/spreadsheetml/2006/main" count="92" uniqueCount="62">
  <si>
    <t>Código</t>
  </si>
  <si>
    <t>Descripción arancelaria</t>
  </si>
  <si>
    <t xml:space="preserve">2015 (R) </t>
  </si>
  <si>
    <t xml:space="preserve">2016 (P) </t>
  </si>
  <si>
    <t xml:space="preserve">                         TOTAL</t>
  </si>
  <si>
    <t>Residuos del tratamiento de las grasas o ceras a-
   nimales</t>
  </si>
  <si>
    <t>-</t>
  </si>
  <si>
    <t>(a) 23000000</t>
  </si>
  <si>
    <t xml:space="preserve">Residuos y desperdicios de las industrias alimen-
   tarias; alimentos preparados para animales </t>
  </si>
  <si>
    <t xml:space="preserve"> Escorias granuladas (arena de  escorias), de la si-
   derurgia</t>
  </si>
  <si>
    <t xml:space="preserve">Cenizas y residuos, (excepto los de la siderurgia) 
   que contengan arsenico, metal o compuestos
   metálicos  </t>
  </si>
  <si>
    <t xml:space="preserve">Las demás escorias y cenizas, incluídas las ceni-
   zas de algas; cenizas y residuos procedentes de
   la incineración de desechos y desperdicios muni-
   cipales </t>
  </si>
  <si>
    <t>Los demás desechos de aceites</t>
  </si>
  <si>
    <t>Coque de petróleo, betún de petróleo y demás re-
   siduos de los aceites de petróleo o de materiales
   bituminosos</t>
  </si>
  <si>
    <t>Lejias residuales de la fabricación de pastas de ce-
   lulosa, aunque estén concentradas, desazucara-
   radas o tratadas químicamente, incluidos los lig-
   nosulfatos, excepto el tall oil, incluso refinado</t>
  </si>
  <si>
    <t>Productos residuales de la industria química o de
   las industrias conexas, no expresados ni com-
   prendidos en otra parte; desechos y desperdicios
   municipales; lodos de depuracion; etc.</t>
  </si>
  <si>
    <t>Desechos, recortes y desperdicios de plástico</t>
  </si>
  <si>
    <t>Desechos, desperdicios y recortes, de caucho sin 
   endurecer, incluso en polvo o granulos</t>
  </si>
  <si>
    <t>Recortes y demas desperdicios de cuero o piel, pre-
   parados, o de cuero regenerado, no utilizables pa-
   ra la fabricación de manufacturas de cuero, ase-
   rrin, polvo y harina de cuero, excepto apergamina-
   dos</t>
  </si>
  <si>
    <t>44013900</t>
  </si>
  <si>
    <t>Aserrín, desperdicios y desechos de madera, inclu-
   so aglomerados en leños, briquetas y formas si-
   milares</t>
  </si>
  <si>
    <t>45019000</t>
  </si>
  <si>
    <t>Desperdicios  de corcho, corcho triturado, granula-
   do o pulverizado</t>
  </si>
  <si>
    <t xml:space="preserve">Pasta de fibras obtenidas de papel o cartón recicla-
dos (desperdicios y desechos)
 </t>
  </si>
  <si>
    <t>Papel o cartón para reciclar (desperdicios y dese-
   chos)</t>
  </si>
  <si>
    <t>50050000</t>
  </si>
  <si>
    <t xml:space="preserve">Hilados de desperdicios de seda  sin  acondicionar
   para la venta al por menor 
</t>
  </si>
  <si>
    <t>50060000</t>
  </si>
  <si>
    <t>50072000</t>
  </si>
  <si>
    <t xml:space="preserve">Los demás tejidos con un contenido de seda  o de
   desperdicios  de  seda, distintos  de la borrilla,
   superior o igual al 85% en peso
</t>
  </si>
  <si>
    <t xml:space="preserve">Desperdicios de algodón (incluidos los desperdi-
   cios de hilados y las hilachas)  </t>
  </si>
  <si>
    <t>Estopas y desperdicios de lino</t>
  </si>
  <si>
    <t>Desperdicios de fibras sinteticas o artificiales (in-
   cluidas las borras, los desperdicios de hilados y
   las hilachas)</t>
  </si>
  <si>
    <t>Trapos, cordeles, cuerdas y cordajes de materia
   textil, en desperdicios o en articulos inservibles</t>
  </si>
  <si>
    <t>Desperdicios y desechos de vidrio; vidrio en masa</t>
  </si>
  <si>
    <t xml:space="preserve">Desperdicios y desechos de metal precioso o de
   chapado de metal precioso (plaque); demás des-
   perdicios y desechos que contengan metal pre-
   cioso compuesto de metal precioso, de los tipos
   utilizados principalmente para la recuperacion
   del metal precioso 
   </t>
  </si>
  <si>
    <t xml:space="preserve">Desperdicios y desechos (chatarra) de fundición, 
   hierro o acero; lingotes de chatarra de hierro o
   acero </t>
  </si>
  <si>
    <t>Desperdicios y desechos de cobre</t>
  </si>
  <si>
    <t>Desperdicios y desechos de aluminio</t>
  </si>
  <si>
    <t>85423180</t>
  </si>
  <si>
    <t>Desperdicios y desechos de procesadores y con- 
   troladores, incluso combinados con memorias,
   convertidores, circuitos lógicos, amplificadores,
   relojes y circuitos de sincronización, u otros cir-
   cuitos</t>
  </si>
  <si>
    <t>85423280</t>
  </si>
  <si>
    <t xml:space="preserve">Desperdicios y desechos de procesadores y con- </t>
  </si>
  <si>
    <t xml:space="preserve">   troladores, incluso combinados con memorias,</t>
  </si>
  <si>
    <t xml:space="preserve">   convertidores, circuitos lógicos, amplificadores, </t>
  </si>
  <si>
    <t xml:space="preserve">   relojes y circuitos de sincronización, u otros cir-</t>
  </si>
  <si>
    <t xml:space="preserve">   cuitos y memorias……………………………………………………</t>
  </si>
  <si>
    <t>85423380</t>
  </si>
  <si>
    <t xml:space="preserve">   cuitos de amplificadores……………………………………………………</t>
  </si>
  <si>
    <t>85423980</t>
  </si>
  <si>
    <t>Los demás  desperdicios  y  desechos  de proce-
   sadores y controladores, incluso combinados
   con memorias, convertidores, circuitos lógicos,
   amplificadores, relojes y circuitos de  sincroni- 
   zación u otros circuitos</t>
  </si>
  <si>
    <t xml:space="preserve">Desperdicios y desechos de pilas, baterías de pi-
   las o acumuladores eléctricos; pilas, baterías de
   pilas y acumuladores eléctricos inservibles  </t>
  </si>
  <si>
    <t>NOTA: Cambios en las cifras debido a la adición de otros incisos arancelarios relacionados con desperdicios y desechos.</t>
  </si>
  <si>
    <t xml:space="preserve">(a)       Excluye el valor correspondiente al inciso arancelario 23090000 (Preparaciones de los tipos utilizadas para la alimentación </t>
  </si>
  <si>
    <t xml:space="preserve">           de los animales).</t>
  </si>
  <si>
    <t>-          Cantidad nula o cero.</t>
  </si>
  <si>
    <t>0.0      Cuando la cantidad es menor a la mitad de la unidad o fracción decimal adoptada para la expresión del dato.</t>
  </si>
  <si>
    <t>(P)      Cifras preliminares.</t>
  </si>
  <si>
    <t>(R)      Cifras revisadas.</t>
  </si>
  <si>
    <t>Importación de desechos y residuos
(en toneladas métricas)</t>
  </si>
  <si>
    <t>Cuadro 45. PESO DE LAS  IMPORTACIONES DE DESECHOS Y RESIDUOS EN LA REPÚBLICA, 
SEGÚN DESCRIPCIÓN ARANCELARIA: AÑOS 2012-16</t>
  </si>
  <si>
    <t>Hilados de seda o de  desperdicios  de  seda, a-
   condicionados para la venta al por menor; "pelo
   de mesina" ("crin de florencia")</t>
  </si>
</sst>
</file>

<file path=xl/styles.xml><?xml version="1.0" encoding="utf-8"?>
<styleSheet xmlns="http://schemas.openxmlformats.org/spreadsheetml/2006/main">
  <numFmts count="1">
    <numFmt numFmtId="164" formatCode="#,##0.0"/>
  </numFmts>
  <fonts count="6">
    <font>
      <sz val="10"/>
      <name val="Arial"/>
    </font>
    <font>
      <b/>
      <sz val="13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0" xfId="0" applyFill="1" applyBorder="1"/>
    <xf numFmtId="0" fontId="0" fillId="0" borderId="0" xfId="0" applyFill="1"/>
    <xf numFmtId="0" fontId="0" fillId="0" borderId="1" xfId="0" applyFill="1" applyBorder="1"/>
    <xf numFmtId="0" fontId="0" fillId="0" borderId="1" xfId="0" applyFill="1" applyBorder="1" applyAlignment="1">
      <alignment horizontal="right"/>
    </xf>
    <xf numFmtId="0" fontId="0" fillId="0" borderId="2" xfId="0" applyFill="1" applyBorder="1"/>
    <xf numFmtId="0" fontId="0" fillId="0" borderId="11" xfId="0" applyFill="1" applyBorder="1"/>
    <xf numFmtId="0" fontId="0" fillId="0" borderId="6" xfId="0" applyFill="1" applyBorder="1"/>
    <xf numFmtId="0" fontId="0" fillId="0" borderId="6" xfId="0" applyFill="1" applyBorder="1" applyAlignment="1">
      <alignment horizontal="right"/>
    </xf>
    <xf numFmtId="0" fontId="0" fillId="0" borderId="8" xfId="0" applyFill="1" applyBorder="1"/>
    <xf numFmtId="0" fontId="0" fillId="0" borderId="5" xfId="0" applyFill="1" applyBorder="1"/>
    <xf numFmtId="0" fontId="3" fillId="0" borderId="0" xfId="0" applyFont="1" applyFill="1" applyBorder="1"/>
    <xf numFmtId="164" fontId="3" fillId="0" borderId="8" xfId="0" applyNumberFormat="1" applyFont="1" applyFill="1" applyBorder="1" applyAlignment="1"/>
    <xf numFmtId="164" fontId="0" fillId="0" borderId="8" xfId="0" applyNumberFormat="1" applyFill="1" applyBorder="1" applyAlignment="1"/>
    <xf numFmtId="164" fontId="2" fillId="0" borderId="8" xfId="0" applyNumberFormat="1" applyFont="1" applyFill="1" applyBorder="1" applyAlignment="1"/>
    <xf numFmtId="0" fontId="0" fillId="0" borderId="0" xfId="0" applyFill="1" applyAlignment="1">
      <alignment horizontal="right"/>
    </xf>
    <xf numFmtId="164" fontId="4" fillId="0" borderId="8" xfId="0" applyNumberFormat="1" applyFont="1" applyFill="1" applyBorder="1" applyAlignment="1"/>
    <xf numFmtId="0" fontId="2" fillId="0" borderId="7" xfId="0" applyFont="1" applyFill="1" applyBorder="1"/>
    <xf numFmtId="0" fontId="2" fillId="0" borderId="0" xfId="0" applyFont="1" applyFill="1" applyBorder="1"/>
    <xf numFmtId="0" fontId="0" fillId="0" borderId="5" xfId="0" applyFill="1" applyBorder="1" applyAlignment="1">
      <alignment vertical="top"/>
    </xf>
    <xf numFmtId="164" fontId="2" fillId="0" borderId="7" xfId="0" applyNumberFormat="1" applyFont="1" applyFill="1" applyBorder="1" applyAlignment="1"/>
    <xf numFmtId="164" fontId="0" fillId="0" borderId="7" xfId="0" applyNumberFormat="1" applyFill="1" applyBorder="1" applyAlignment="1"/>
    <xf numFmtId="164" fontId="2" fillId="0" borderId="8" xfId="0" applyNumberFormat="1" applyFont="1" applyFill="1" applyBorder="1" applyAlignment="1">
      <alignment horizontal="right"/>
    </xf>
    <xf numFmtId="0" fontId="2" fillId="0" borderId="0" xfId="0" applyFont="1" applyFill="1" applyAlignment="1">
      <alignment vertical="top"/>
    </xf>
    <xf numFmtId="0" fontId="2" fillId="0" borderId="0" xfId="0" applyFont="1" applyFill="1"/>
    <xf numFmtId="49" fontId="2" fillId="0" borderId="0" xfId="0" applyNumberFormat="1" applyFont="1" applyFill="1" applyAlignment="1">
      <alignment horizontal="right" vertical="top"/>
    </xf>
    <xf numFmtId="49" fontId="2" fillId="0" borderId="0" xfId="0" applyNumberFormat="1" applyFont="1" applyFill="1" applyAlignment="1">
      <alignment horizontal="right"/>
    </xf>
    <xf numFmtId="164" fontId="4" fillId="0" borderId="7" xfId="0" applyNumberFormat="1" applyFont="1" applyFill="1" applyBorder="1" applyAlignment="1">
      <alignment wrapText="1"/>
    </xf>
    <xf numFmtId="164" fontId="4" fillId="0" borderId="7" xfId="0" applyNumberFormat="1" applyFont="1" applyFill="1" applyBorder="1" applyAlignment="1"/>
    <xf numFmtId="49" fontId="2" fillId="0" borderId="7" xfId="0" applyNumberFormat="1" applyFont="1" applyFill="1" applyBorder="1" applyAlignment="1">
      <alignment vertical="top"/>
    </xf>
    <xf numFmtId="49" fontId="2" fillId="0" borderId="0" xfId="0" applyNumberFormat="1" applyFont="1" applyFill="1"/>
    <xf numFmtId="0" fontId="0" fillId="0" borderId="9" xfId="0" applyFill="1" applyBorder="1"/>
    <xf numFmtId="0" fontId="0" fillId="0" borderId="4" xfId="0" applyFill="1" applyBorder="1"/>
    <xf numFmtId="0" fontId="2" fillId="0" borderId="10" xfId="0" applyFont="1" applyFill="1" applyBorder="1"/>
    <xf numFmtId="4" fontId="2" fillId="0" borderId="10" xfId="0" applyNumberFormat="1" applyFont="1" applyFill="1" applyBorder="1" applyAlignment="1">
      <alignment horizontal="right"/>
    </xf>
    <xf numFmtId="164" fontId="2" fillId="0" borderId="4" xfId="0" applyNumberFormat="1" applyFont="1" applyFill="1" applyBorder="1"/>
    <xf numFmtId="49" fontId="0" fillId="0" borderId="0" xfId="0" applyNumberFormat="1" applyFill="1"/>
    <xf numFmtId="0" fontId="5" fillId="0" borderId="0" xfId="0" applyFont="1" applyFill="1"/>
    <xf numFmtId="0" fontId="1" fillId="0" borderId="0" xfId="0" applyFont="1" applyFill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right" vertical="top"/>
    </xf>
    <xf numFmtId="0" fontId="2" fillId="0" borderId="7" xfId="0" applyFont="1" applyFill="1" applyBorder="1" applyAlignment="1">
      <alignment vertical="top" wrapText="1"/>
    </xf>
    <xf numFmtId="0" fontId="2" fillId="0" borderId="7" xfId="0" applyFont="1" applyFill="1" applyBorder="1" applyAlignment="1">
      <alignment vertical="top"/>
    </xf>
    <xf numFmtId="164" fontId="4" fillId="0" borderId="7" xfId="0" applyNumberFormat="1" applyFont="1" applyFill="1" applyBorder="1" applyAlignment="1"/>
    <xf numFmtId="0" fontId="0" fillId="0" borderId="7" xfId="0" applyFill="1" applyBorder="1" applyAlignment="1"/>
    <xf numFmtId="164" fontId="0" fillId="0" borderId="8" xfId="0" applyNumberFormat="1" applyFill="1" applyBorder="1" applyAlignment="1"/>
    <xf numFmtId="164" fontId="2" fillId="0" borderId="7" xfId="0" applyNumberFormat="1" applyFont="1" applyFill="1" applyBorder="1" applyAlignment="1"/>
    <xf numFmtId="164" fontId="4" fillId="0" borderId="7" xfId="0" applyNumberFormat="1" applyFont="1" applyFill="1" applyBorder="1" applyAlignment="1">
      <alignment wrapText="1"/>
    </xf>
    <xf numFmtId="164" fontId="0" fillId="0" borderId="7" xfId="0" applyNumberFormat="1" applyFill="1" applyBorder="1" applyAlignment="1"/>
    <xf numFmtId="164" fontId="0" fillId="0" borderId="8" xfId="0" applyNumberFormat="1" applyFill="1" applyBorder="1" applyAlignment="1">
      <alignment vertical="center"/>
    </xf>
    <xf numFmtId="0" fontId="0" fillId="0" borderId="5" xfId="0" applyFill="1" applyBorder="1" applyAlignment="1">
      <alignment vertical="top"/>
    </xf>
    <xf numFmtId="164" fontId="2" fillId="0" borderId="7" xfId="0" applyNumberFormat="1" applyFont="1" applyFill="1" applyBorder="1" applyAlignment="1">
      <alignment horizontal="right"/>
    </xf>
    <xf numFmtId="164" fontId="4" fillId="0" borderId="7" xfId="0" applyNumberFormat="1" applyFont="1" applyFill="1" applyBorder="1" applyAlignment="1">
      <alignment horizontal="right"/>
    </xf>
    <xf numFmtId="164" fontId="0" fillId="0" borderId="7" xfId="0" applyNumberFormat="1" applyFill="1" applyBorder="1" applyAlignment="1">
      <alignment horizontal="right"/>
    </xf>
    <xf numFmtId="164" fontId="0" fillId="0" borderId="8" xfId="0" applyNumberFormat="1" applyFill="1" applyBorder="1" applyAlignment="1">
      <alignment horizontal="right"/>
    </xf>
    <xf numFmtId="164" fontId="4" fillId="0" borderId="7" xfId="0" applyNumberFormat="1" applyFont="1" applyFill="1" applyBorder="1" applyAlignment="1">
      <alignment vertical="center"/>
    </xf>
    <xf numFmtId="164" fontId="0" fillId="0" borderId="7" xfId="0" applyNumberFormat="1" applyFill="1" applyBorder="1" applyAlignment="1">
      <alignment vertical="center"/>
    </xf>
    <xf numFmtId="49" fontId="2" fillId="0" borderId="5" xfId="0" applyNumberFormat="1" applyFont="1" applyFill="1" applyBorder="1" applyAlignment="1">
      <alignment horizontal="right" vertical="top"/>
    </xf>
    <xf numFmtId="49" fontId="2" fillId="0" borderId="7" xfId="0" applyNumberFormat="1" applyFont="1" applyFill="1" applyBorder="1" applyAlignment="1">
      <alignment vertical="top" wrapText="1"/>
    </xf>
    <xf numFmtId="49" fontId="2" fillId="0" borderId="0" xfId="0" applyNumberFormat="1" applyFont="1" applyFill="1" applyAlignment="1">
      <alignment horizontal="right" vertical="top"/>
    </xf>
    <xf numFmtId="49" fontId="2" fillId="0" borderId="7" xfId="0" applyNumberFormat="1" applyFont="1" applyFill="1" applyBorder="1" applyAlignment="1">
      <alignment vertical="top"/>
    </xf>
    <xf numFmtId="164" fontId="2" fillId="0" borderId="8" xfId="0" applyNumberFormat="1" applyFont="1" applyFill="1" applyBorder="1" applyAlignment="1">
      <alignment horizontal="right"/>
    </xf>
    <xf numFmtId="0" fontId="2" fillId="0" borderId="5" xfId="0" applyFont="1" applyFill="1" applyBorder="1" applyAlignment="1">
      <alignment vertical="top"/>
    </xf>
    <xf numFmtId="164" fontId="4" fillId="0" borderId="7" xfId="0" applyNumberFormat="1" applyFont="1" applyFill="1" applyBorder="1" applyAlignment="1">
      <alignment horizontal="right" wrapText="1"/>
    </xf>
    <xf numFmtId="0" fontId="2" fillId="0" borderId="0" xfId="0" applyFont="1" applyFill="1" applyAlignment="1">
      <alignment vertical="top"/>
    </xf>
    <xf numFmtId="0" fontId="0" fillId="0" borderId="7" xfId="0" applyFill="1" applyBorder="1" applyAlignment="1">
      <alignment vertical="top" wrapText="1"/>
    </xf>
    <xf numFmtId="0" fontId="0" fillId="0" borderId="7" xfId="0" applyFill="1" applyBorder="1" applyAlignment="1">
      <alignment vertical="top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109</xdr:row>
      <xdr:rowOff>0</xdr:rowOff>
    </xdr:from>
    <xdr:to>
      <xdr:col>5</xdr:col>
      <xdr:colOff>1085850</xdr:colOff>
      <xdr:row>137</xdr:row>
      <xdr:rowOff>104775</xdr:rowOff>
    </xdr:to>
    <xdr:pic>
      <xdr:nvPicPr>
        <xdr:cNvPr id="1029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28725" y="17459325"/>
          <a:ext cx="7543800" cy="46386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43"/>
  <sheetViews>
    <sheetView tabSelected="1" workbookViewId="0">
      <selection activeCell="H54" sqref="H54"/>
    </sheetView>
  </sheetViews>
  <sheetFormatPr baseColWidth="10" defaultRowHeight="12.75"/>
  <cols>
    <col min="1" max="1" width="16.7109375" style="2" customWidth="1"/>
    <col min="2" max="2" width="43.7109375" style="2" customWidth="1"/>
    <col min="3" max="3" width="18.28515625" style="15" customWidth="1"/>
    <col min="4" max="7" width="18.28515625" style="2" customWidth="1"/>
    <col min="8" max="16384" width="11.42578125" style="2"/>
  </cols>
  <sheetData>
    <row r="1" spans="1:7" ht="12.75" customHeight="1">
      <c r="A1" s="38" t="s">
        <v>60</v>
      </c>
      <c r="B1" s="38"/>
      <c r="C1" s="38"/>
      <c r="D1" s="38"/>
      <c r="E1" s="38"/>
      <c r="F1" s="38"/>
      <c r="G1" s="38"/>
    </row>
    <row r="2" spans="1:7" ht="23.25" customHeight="1">
      <c r="A2" s="38"/>
      <c r="B2" s="38"/>
      <c r="C2" s="38"/>
      <c r="D2" s="38"/>
      <c r="E2" s="38"/>
      <c r="F2" s="38"/>
      <c r="G2" s="38"/>
    </row>
    <row r="3" spans="1:7" ht="6" customHeight="1">
      <c r="C3" s="4"/>
      <c r="D3" s="3"/>
      <c r="E3" s="3"/>
      <c r="F3" s="3"/>
      <c r="G3" s="3"/>
    </row>
    <row r="4" spans="1:7" ht="30" customHeight="1">
      <c r="A4" s="39" t="s">
        <v>0</v>
      </c>
      <c r="B4" s="42" t="s">
        <v>1</v>
      </c>
      <c r="C4" s="44" t="s">
        <v>59</v>
      </c>
      <c r="D4" s="45"/>
      <c r="E4" s="45"/>
      <c r="F4" s="45"/>
      <c r="G4" s="45"/>
    </row>
    <row r="5" spans="1:7" ht="12.75" customHeight="1">
      <c r="A5" s="40"/>
      <c r="B5" s="42"/>
      <c r="C5" s="46">
        <v>2012</v>
      </c>
      <c r="D5" s="48">
        <v>2013</v>
      </c>
      <c r="E5" s="48">
        <v>2014</v>
      </c>
      <c r="F5" s="48" t="s">
        <v>2</v>
      </c>
      <c r="G5" s="48" t="s">
        <v>3</v>
      </c>
    </row>
    <row r="6" spans="1:7" ht="12.75" customHeight="1">
      <c r="A6" s="41"/>
      <c r="B6" s="43"/>
      <c r="C6" s="47"/>
      <c r="D6" s="49"/>
      <c r="E6" s="49"/>
      <c r="F6" s="49"/>
      <c r="G6" s="49"/>
    </row>
    <row r="7" spans="1:7">
      <c r="A7" s="5"/>
      <c r="B7" s="6"/>
      <c r="C7" s="8"/>
      <c r="D7" s="7"/>
      <c r="E7" s="7"/>
      <c r="F7" s="9"/>
      <c r="G7" s="9"/>
    </row>
    <row r="8" spans="1:7" ht="15.75">
      <c r="A8" s="10"/>
      <c r="B8" s="11" t="s">
        <v>4</v>
      </c>
      <c r="C8" s="12">
        <f>C9+C11+C13+C22+C23+C30+C34+C35+C37+C41+C44+C48+C50+C55+C58+C61+C64+C72+C75+C76</f>
        <v>396339.18900000007</v>
      </c>
      <c r="D8" s="12">
        <f>D9+D11+D13+D18+D22+D23+D30+D34+D35+D37+D41+D48+D50+D58+D64+D66+D72+D75+D76</f>
        <v>359212.18800000002</v>
      </c>
      <c r="E8" s="12">
        <f>E9+E11+E13+E15+E18+E22+E23+E30+E34+E35+E37+E41+E44+E46+E48+E50+E52+E55+E58+E60+E61+E64+E66+E72+E75+E76+E77+E91</f>
        <v>367052.07400000008</v>
      </c>
      <c r="F8" s="12">
        <f>F9+F11+F13+F18+F22+F23+F30+F34+F35+F37+F41+F48+F50+F55+F58+F60+F61+F64+F66+F72+F75+F76+F77+F95</f>
        <v>382895.95199999999</v>
      </c>
      <c r="G8" s="12">
        <f>G9+G11+G13+G15+G18+G22+G23+G26+G30+G34+G35+G37+G41+G44+G46+G48+G55+G58+G60+G61+G64+G66+G67+G72+G76++G77+G95</f>
        <v>384221.69500000001</v>
      </c>
    </row>
    <row r="9" spans="1:7" ht="15.95" customHeight="1">
      <c r="A9" s="50">
        <v>15220090</v>
      </c>
      <c r="B9" s="51" t="s">
        <v>5</v>
      </c>
      <c r="C9" s="53">
        <f>32646/1000</f>
        <v>32.646000000000001</v>
      </c>
      <c r="D9" s="53">
        <f>30667/1000</f>
        <v>30.667000000000002</v>
      </c>
      <c r="E9" s="53">
        <f>51585/1000</f>
        <v>51.585000000000001</v>
      </c>
      <c r="F9" s="54">
        <f>5400/1000</f>
        <v>5.4</v>
      </c>
      <c r="G9" s="55">
        <f>52/1000</f>
        <v>5.1999999999999998E-2</v>
      </c>
    </row>
    <row r="10" spans="1:7" ht="9" customHeight="1">
      <c r="A10" s="50"/>
      <c r="B10" s="52"/>
      <c r="C10" s="53"/>
      <c r="D10" s="53"/>
      <c r="E10" s="53"/>
      <c r="F10" s="54"/>
      <c r="G10" s="55"/>
    </row>
    <row r="11" spans="1:7" ht="15.95" customHeight="1">
      <c r="A11" s="50" t="s">
        <v>7</v>
      </c>
      <c r="B11" s="51" t="s">
        <v>8</v>
      </c>
      <c r="C11" s="56">
        <f>181580509/1000</f>
        <v>181580.50899999999</v>
      </c>
      <c r="D11" s="57">
        <f>(233895756-51367491)/1000</f>
        <v>182528.26500000001</v>
      </c>
      <c r="E11" s="57">
        <f>(260511055-62241601)/1000</f>
        <v>198269.454</v>
      </c>
      <c r="F11" s="58">
        <f>205633814/1000</f>
        <v>205633.81400000001</v>
      </c>
      <c r="G11" s="55">
        <f>(290037673-55962073)/1000</f>
        <v>234075.6</v>
      </c>
    </row>
    <row r="12" spans="1:7" ht="9.75" customHeight="1">
      <c r="A12" s="50"/>
      <c r="B12" s="52"/>
      <c r="C12" s="56"/>
      <c r="D12" s="57"/>
      <c r="E12" s="57"/>
      <c r="F12" s="58"/>
      <c r="G12" s="55"/>
    </row>
    <row r="13" spans="1:7" ht="15.95" customHeight="1">
      <c r="A13" s="60">
        <v>26180000</v>
      </c>
      <c r="B13" s="51" t="s">
        <v>9</v>
      </c>
      <c r="C13" s="65">
        <f>34011642/1000</f>
        <v>34011.642</v>
      </c>
      <c r="D13" s="65">
        <f>1228547/1000</f>
        <v>1228.547</v>
      </c>
      <c r="E13" s="65">
        <f>1282891/1000</f>
        <v>1282.8910000000001</v>
      </c>
      <c r="F13" s="66">
        <f>1883960/1000</f>
        <v>1883.96</v>
      </c>
      <c r="G13" s="59">
        <f>1306480/100</f>
        <v>13064.8</v>
      </c>
    </row>
    <row r="14" spans="1:7" ht="15.95" customHeight="1">
      <c r="A14" s="60"/>
      <c r="B14" s="52"/>
      <c r="C14" s="65"/>
      <c r="D14" s="65"/>
      <c r="E14" s="65"/>
      <c r="F14" s="66"/>
      <c r="G14" s="59"/>
    </row>
    <row r="15" spans="1:7" ht="15.95" customHeight="1">
      <c r="A15" s="60">
        <v>26200000</v>
      </c>
      <c r="B15" s="51" t="s">
        <v>10</v>
      </c>
      <c r="C15" s="61" t="s">
        <v>6</v>
      </c>
      <c r="D15" s="62" t="s">
        <v>6</v>
      </c>
      <c r="E15" s="53">
        <f>83460/1000</f>
        <v>83.46</v>
      </c>
      <c r="F15" s="63" t="s">
        <v>6</v>
      </c>
      <c r="G15" s="64">
        <f>10/1000</f>
        <v>0.01</v>
      </c>
    </row>
    <row r="16" spans="1:7" ht="15.95" customHeight="1">
      <c r="A16" s="60"/>
      <c r="B16" s="51"/>
      <c r="C16" s="61"/>
      <c r="D16" s="62"/>
      <c r="E16" s="53"/>
      <c r="F16" s="63"/>
      <c r="G16" s="64"/>
    </row>
    <row r="17" spans="1:7" ht="6" customHeight="1">
      <c r="A17" s="60"/>
      <c r="B17" s="51"/>
      <c r="C17" s="61"/>
      <c r="D17" s="62"/>
      <c r="E17" s="53"/>
      <c r="F17" s="63"/>
      <c r="G17" s="64"/>
    </row>
    <row r="18" spans="1:7" ht="15.95" customHeight="1">
      <c r="A18" s="60">
        <v>26210000</v>
      </c>
      <c r="B18" s="51" t="s">
        <v>11</v>
      </c>
      <c r="C18" s="61" t="s">
        <v>6</v>
      </c>
      <c r="D18" s="53">
        <f>1094/1000</f>
        <v>1.0940000000000001</v>
      </c>
      <c r="E18" s="53">
        <f>3700/1000</f>
        <v>3.7</v>
      </c>
      <c r="F18" s="58">
        <f>15422/1000</f>
        <v>15.422000000000001</v>
      </c>
      <c r="G18" s="55">
        <f>303013/1000</f>
        <v>303.01299999999998</v>
      </c>
    </row>
    <row r="19" spans="1:7" ht="15.95" customHeight="1">
      <c r="A19" s="60"/>
      <c r="B19" s="51"/>
      <c r="C19" s="61"/>
      <c r="D19" s="53"/>
      <c r="E19" s="53"/>
      <c r="F19" s="58"/>
      <c r="G19" s="55"/>
    </row>
    <row r="20" spans="1:7" ht="15.95" customHeight="1">
      <c r="A20" s="60"/>
      <c r="B20" s="51"/>
      <c r="C20" s="61"/>
      <c r="D20" s="53"/>
      <c r="E20" s="53"/>
      <c r="F20" s="58"/>
      <c r="G20" s="55"/>
    </row>
    <row r="21" spans="1:7" ht="2.25" customHeight="1">
      <c r="A21" s="60"/>
      <c r="B21" s="51"/>
      <c r="C21" s="61"/>
      <c r="D21" s="53"/>
      <c r="E21" s="53"/>
      <c r="F21" s="58"/>
      <c r="G21" s="55"/>
    </row>
    <row r="22" spans="1:7" ht="15.95" customHeight="1">
      <c r="A22" s="10">
        <v>27109990</v>
      </c>
      <c r="B22" s="17" t="s">
        <v>12</v>
      </c>
      <c r="C22" s="16">
        <f>20603/1000</f>
        <v>20.603000000000002</v>
      </c>
      <c r="D22" s="16">
        <f>9967/1000</f>
        <v>9.9670000000000005</v>
      </c>
      <c r="E22" s="16">
        <f>54001/1000</f>
        <v>54.000999999999998</v>
      </c>
      <c r="F22" s="13">
        <f>29889/1000</f>
        <v>29.888999999999999</v>
      </c>
      <c r="G22" s="13">
        <f>144580/1000</f>
        <v>144.58000000000001</v>
      </c>
    </row>
    <row r="23" spans="1:7" ht="15.95" customHeight="1">
      <c r="A23" s="60">
        <v>27130000</v>
      </c>
      <c r="B23" s="51" t="s">
        <v>13</v>
      </c>
      <c r="C23" s="56">
        <f>166040169/1000</f>
        <v>166040.16899999999</v>
      </c>
      <c r="D23" s="56">
        <f>162989171/1000</f>
        <v>162989.171</v>
      </c>
      <c r="E23" s="56">
        <f>153033189/1000</f>
        <v>153033.18900000001</v>
      </c>
      <c r="F23" s="58">
        <f>162039989/1000</f>
        <v>162039.989</v>
      </c>
      <c r="G23" s="55">
        <f>117066416/1000</f>
        <v>117066.416</v>
      </c>
    </row>
    <row r="24" spans="1:7" ht="15.95" customHeight="1">
      <c r="A24" s="60"/>
      <c r="B24" s="51"/>
      <c r="C24" s="56"/>
      <c r="D24" s="56"/>
      <c r="E24" s="56"/>
      <c r="F24" s="58"/>
      <c r="G24" s="55"/>
    </row>
    <row r="25" spans="1:7" ht="5.25" customHeight="1">
      <c r="A25" s="60"/>
      <c r="B25" s="51"/>
      <c r="C25" s="56"/>
      <c r="D25" s="56"/>
      <c r="E25" s="56"/>
      <c r="F25" s="58"/>
      <c r="G25" s="55"/>
    </row>
    <row r="26" spans="1:7" ht="15.95" customHeight="1">
      <c r="A26" s="19">
        <v>38040000</v>
      </c>
      <c r="B26" s="51" t="s">
        <v>14</v>
      </c>
      <c r="C26" s="56">
        <f>45155/1000</f>
        <v>45.155000000000001</v>
      </c>
      <c r="D26" s="56">
        <f>387262/1000</f>
        <v>387.262</v>
      </c>
      <c r="E26" s="56">
        <f>163040/1000</f>
        <v>163.04</v>
      </c>
      <c r="F26" s="58">
        <f>97000/1000</f>
        <v>97</v>
      </c>
      <c r="G26" s="55">
        <f>76119/1000</f>
        <v>76.119</v>
      </c>
    </row>
    <row r="27" spans="1:7" ht="15.95" customHeight="1">
      <c r="A27" s="19"/>
      <c r="B27" s="51"/>
      <c r="C27" s="56"/>
      <c r="D27" s="56"/>
      <c r="E27" s="56"/>
      <c r="F27" s="58"/>
      <c r="G27" s="55"/>
    </row>
    <row r="28" spans="1:7" ht="15.95" customHeight="1">
      <c r="A28" s="19"/>
      <c r="B28" s="51"/>
      <c r="C28" s="56"/>
      <c r="D28" s="56"/>
      <c r="E28" s="56"/>
      <c r="F28" s="58"/>
      <c r="G28" s="55"/>
    </row>
    <row r="29" spans="1:7" ht="6" customHeight="1">
      <c r="A29" s="19"/>
      <c r="B29" s="51"/>
      <c r="C29" s="20"/>
      <c r="D29" s="20"/>
      <c r="E29" s="20"/>
      <c r="F29" s="21"/>
      <c r="G29" s="13"/>
    </row>
    <row r="30" spans="1:7" ht="15.95" customHeight="1">
      <c r="A30" s="60">
        <v>38250000</v>
      </c>
      <c r="B30" s="51" t="s">
        <v>15</v>
      </c>
      <c r="C30" s="53">
        <f>51257/1000</f>
        <v>51.256999999999998</v>
      </c>
      <c r="D30" s="53">
        <f>52622/1000</f>
        <v>52.622</v>
      </c>
      <c r="E30" s="53">
        <f>42034/1000</f>
        <v>42.033999999999999</v>
      </c>
      <c r="F30" s="58">
        <f>66440/1000</f>
        <v>66.44</v>
      </c>
      <c r="G30" s="55">
        <f>125776/1000</f>
        <v>125.776</v>
      </c>
    </row>
    <row r="31" spans="1:7" ht="15.95" customHeight="1">
      <c r="A31" s="60"/>
      <c r="B31" s="51"/>
      <c r="C31" s="53"/>
      <c r="D31" s="53"/>
      <c r="E31" s="53"/>
      <c r="F31" s="58"/>
      <c r="G31" s="55"/>
    </row>
    <row r="32" spans="1:7" ht="15.95" customHeight="1">
      <c r="A32" s="60"/>
      <c r="B32" s="51"/>
      <c r="C32" s="53"/>
      <c r="D32" s="53"/>
      <c r="E32" s="53"/>
      <c r="F32" s="58"/>
      <c r="G32" s="55"/>
    </row>
    <row r="33" spans="1:7" ht="5.25" customHeight="1">
      <c r="A33" s="10"/>
      <c r="B33" s="51"/>
      <c r="C33" s="53"/>
      <c r="D33" s="53"/>
      <c r="E33" s="53"/>
      <c r="F33" s="58"/>
      <c r="G33" s="55"/>
    </row>
    <row r="34" spans="1:7" ht="15.95" customHeight="1">
      <c r="A34" s="10">
        <v>39150000</v>
      </c>
      <c r="B34" s="17" t="s">
        <v>16</v>
      </c>
      <c r="C34" s="16">
        <f>54884/1000</f>
        <v>54.884</v>
      </c>
      <c r="D34" s="16">
        <f>85117/1000</f>
        <v>85.117000000000004</v>
      </c>
      <c r="E34" s="16">
        <f>2991/1000</f>
        <v>2.9910000000000001</v>
      </c>
      <c r="F34" s="13">
        <f>108892/1000</f>
        <v>108.892</v>
      </c>
      <c r="G34" s="13">
        <f>20713/1000</f>
        <v>20.713000000000001</v>
      </c>
    </row>
    <row r="35" spans="1:7" ht="15.95" customHeight="1">
      <c r="A35" s="60">
        <v>40040000</v>
      </c>
      <c r="B35" s="51" t="s">
        <v>17</v>
      </c>
      <c r="C35" s="53">
        <f>108686/1000</f>
        <v>108.68600000000001</v>
      </c>
      <c r="D35" s="53">
        <f>239876/1000</f>
        <v>239.876</v>
      </c>
      <c r="E35" s="53">
        <f>61582/1000</f>
        <v>61.582000000000001</v>
      </c>
      <c r="F35" s="58">
        <f>67628/1000</f>
        <v>67.628</v>
      </c>
      <c r="G35" s="55">
        <f>151078/1000</f>
        <v>151.078</v>
      </c>
    </row>
    <row r="36" spans="1:7" ht="9.75" customHeight="1">
      <c r="A36" s="60"/>
      <c r="B36" s="52"/>
      <c r="C36" s="53"/>
      <c r="D36" s="53"/>
      <c r="E36" s="53"/>
      <c r="F36" s="58"/>
      <c r="G36" s="55"/>
    </row>
    <row r="37" spans="1:7" ht="15.95" customHeight="1">
      <c r="A37" s="1">
        <v>41152090</v>
      </c>
      <c r="B37" s="51" t="s">
        <v>18</v>
      </c>
      <c r="C37" s="56">
        <f>5/1000</f>
        <v>5.0000000000000001E-3</v>
      </c>
      <c r="D37" s="53">
        <f>256/1000</f>
        <v>0.25600000000000001</v>
      </c>
      <c r="E37" s="53">
        <f>929/1000</f>
        <v>0.92900000000000005</v>
      </c>
      <c r="F37" s="58">
        <f>3466/1000</f>
        <v>3.4660000000000002</v>
      </c>
      <c r="G37" s="55">
        <f>100/1000</f>
        <v>0.1</v>
      </c>
    </row>
    <row r="38" spans="1:7" ht="15.95" customHeight="1">
      <c r="A38" s="1"/>
      <c r="B38" s="51"/>
      <c r="C38" s="56"/>
      <c r="D38" s="53"/>
      <c r="E38" s="53"/>
      <c r="F38" s="58"/>
      <c r="G38" s="55"/>
    </row>
    <row r="39" spans="1:7" ht="15.95" customHeight="1">
      <c r="A39" s="1"/>
      <c r="B39" s="51"/>
      <c r="C39" s="56"/>
      <c r="D39" s="53"/>
      <c r="E39" s="53"/>
      <c r="F39" s="58"/>
      <c r="G39" s="55"/>
    </row>
    <row r="40" spans="1:7" ht="15.95" customHeight="1">
      <c r="A40" s="1"/>
      <c r="B40" s="51"/>
      <c r="C40" s="56"/>
      <c r="D40" s="53"/>
      <c r="E40" s="53"/>
      <c r="F40" s="58"/>
      <c r="G40" s="55"/>
    </row>
    <row r="41" spans="1:7" ht="15.75" customHeight="1">
      <c r="A41" s="67" t="s">
        <v>19</v>
      </c>
      <c r="B41" s="68" t="s">
        <v>20</v>
      </c>
      <c r="C41" s="56">
        <f>292950/1000</f>
        <v>292.95</v>
      </c>
      <c r="D41" s="53">
        <f>255482/1000</f>
        <v>255.482</v>
      </c>
      <c r="E41" s="53">
        <f>458574/1000</f>
        <v>458.57400000000001</v>
      </c>
      <c r="F41" s="58">
        <f>366239/1000</f>
        <v>366.23899999999998</v>
      </c>
      <c r="G41" s="55">
        <f>808081/1000</f>
        <v>808.08100000000002</v>
      </c>
    </row>
    <row r="42" spans="1:7" ht="15.75" customHeight="1">
      <c r="A42" s="67"/>
      <c r="B42" s="68"/>
      <c r="C42" s="56"/>
      <c r="D42" s="53"/>
      <c r="E42" s="53"/>
      <c r="F42" s="58"/>
      <c r="G42" s="55"/>
    </row>
    <row r="43" spans="1:7" ht="6.75" customHeight="1">
      <c r="A43" s="67"/>
      <c r="B43" s="68"/>
      <c r="C43" s="56"/>
      <c r="D43" s="53"/>
      <c r="E43" s="53"/>
      <c r="F43" s="58"/>
      <c r="G43" s="55"/>
    </row>
    <row r="44" spans="1:7" ht="15.95" customHeight="1">
      <c r="A44" s="69" t="s">
        <v>21</v>
      </c>
      <c r="B44" s="68" t="s">
        <v>22</v>
      </c>
      <c r="C44" s="56">
        <f>340/1000</f>
        <v>0.34</v>
      </c>
      <c r="D44" s="63" t="s">
        <v>6</v>
      </c>
      <c r="E44" s="53">
        <f>8483/1000</f>
        <v>8.4830000000000005</v>
      </c>
      <c r="F44" s="63" t="s">
        <v>6</v>
      </c>
      <c r="G44" s="55">
        <f>1357/1000</f>
        <v>1.357</v>
      </c>
    </row>
    <row r="45" spans="1:7" ht="8.25" customHeight="1">
      <c r="A45" s="69"/>
      <c r="B45" s="70"/>
      <c r="C45" s="56"/>
      <c r="D45" s="63"/>
      <c r="E45" s="53"/>
      <c r="F45" s="63"/>
      <c r="G45" s="55"/>
    </row>
    <row r="46" spans="1:7" ht="15.95" customHeight="1">
      <c r="A46" s="23">
        <v>47062000</v>
      </c>
      <c r="B46" s="51" t="s">
        <v>23</v>
      </c>
      <c r="C46" s="61" t="s">
        <v>6</v>
      </c>
      <c r="D46" s="61" t="s">
        <v>6</v>
      </c>
      <c r="E46" s="56">
        <f>362/1000</f>
        <v>0.36199999999999999</v>
      </c>
      <c r="F46" s="63" t="s">
        <v>6</v>
      </c>
      <c r="G46" s="55">
        <f>8007/1000</f>
        <v>8.0069999999999997</v>
      </c>
    </row>
    <row r="47" spans="1:7" ht="9" customHeight="1">
      <c r="A47" s="24"/>
      <c r="B47" s="52"/>
      <c r="C47" s="61"/>
      <c r="D47" s="61"/>
      <c r="E47" s="56"/>
      <c r="F47" s="63"/>
      <c r="G47" s="55"/>
    </row>
    <row r="48" spans="1:7" ht="15.95" customHeight="1">
      <c r="A48" s="72">
        <v>47070000</v>
      </c>
      <c r="B48" s="51" t="s">
        <v>24</v>
      </c>
      <c r="C48" s="57">
        <f>13282499/1000</f>
        <v>13282.499</v>
      </c>
      <c r="D48" s="53">
        <f>11082482/1000</f>
        <v>11082.482</v>
      </c>
      <c r="E48" s="53">
        <f>13318584/1000</f>
        <v>13318.584000000001</v>
      </c>
      <c r="F48" s="58">
        <f>12440046/1000</f>
        <v>12440.046</v>
      </c>
      <c r="G48" s="55">
        <f>8971817/1000</f>
        <v>8971.8169999999991</v>
      </c>
    </row>
    <row r="49" spans="1:7" ht="11.25" customHeight="1">
      <c r="A49" s="72"/>
      <c r="B49" s="52"/>
      <c r="C49" s="57"/>
      <c r="D49" s="53"/>
      <c r="E49" s="53"/>
      <c r="F49" s="58"/>
      <c r="G49" s="55"/>
    </row>
    <row r="50" spans="1:7" ht="15.95" customHeight="1">
      <c r="A50" s="25" t="s">
        <v>25</v>
      </c>
      <c r="B50" s="68" t="s">
        <v>26</v>
      </c>
      <c r="C50" s="57">
        <f>425/1000</f>
        <v>0.42499999999999999</v>
      </c>
      <c r="D50" s="53">
        <f>847/1000</f>
        <v>0.84699999999999998</v>
      </c>
      <c r="E50" s="53">
        <f>494/1000</f>
        <v>0.49399999999999999</v>
      </c>
      <c r="F50" s="58">
        <f>34/1000</f>
        <v>3.4000000000000002E-2</v>
      </c>
      <c r="G50" s="71" t="s">
        <v>6</v>
      </c>
    </row>
    <row r="51" spans="1:7" ht="9" customHeight="1">
      <c r="A51" s="26"/>
      <c r="B51" s="70"/>
      <c r="C51" s="57"/>
      <c r="D51" s="53"/>
      <c r="E51" s="53"/>
      <c r="F51" s="58"/>
      <c r="G51" s="64"/>
    </row>
    <row r="52" spans="1:7" ht="15.95" customHeight="1">
      <c r="A52" s="67" t="s">
        <v>27</v>
      </c>
      <c r="B52" s="68" t="s">
        <v>61</v>
      </c>
      <c r="C52" s="73" t="s">
        <v>6</v>
      </c>
      <c r="D52" s="73" t="s">
        <v>6</v>
      </c>
      <c r="E52" s="53">
        <f>85/1000</f>
        <v>8.5000000000000006E-2</v>
      </c>
      <c r="F52" s="73" t="s">
        <v>6</v>
      </c>
      <c r="G52" s="71" t="s">
        <v>6</v>
      </c>
    </row>
    <row r="53" spans="1:7" ht="15.95" customHeight="1">
      <c r="A53" s="67"/>
      <c r="B53" s="68"/>
      <c r="C53" s="73"/>
      <c r="D53" s="73"/>
      <c r="E53" s="53"/>
      <c r="F53" s="73"/>
      <c r="G53" s="64"/>
    </row>
    <row r="54" spans="1:7" ht="9" customHeight="1">
      <c r="A54" s="67"/>
      <c r="B54" s="68"/>
      <c r="C54" s="73"/>
      <c r="D54" s="73"/>
      <c r="E54" s="53"/>
      <c r="F54" s="73"/>
      <c r="G54" s="64"/>
    </row>
    <row r="55" spans="1:7" ht="15.95" customHeight="1">
      <c r="A55" s="69" t="s">
        <v>28</v>
      </c>
      <c r="B55" s="68" t="s">
        <v>29</v>
      </c>
      <c r="C55" s="57">
        <f>167/1000</f>
        <v>0.16700000000000001</v>
      </c>
      <c r="D55" s="53">
        <f>8/1000</f>
        <v>8.0000000000000002E-3</v>
      </c>
      <c r="E55" s="53">
        <f>39/1000</f>
        <v>3.9E-2</v>
      </c>
      <c r="F55" s="58">
        <f>66/1000</f>
        <v>6.6000000000000003E-2</v>
      </c>
      <c r="G55" s="55">
        <f>28/1000</f>
        <v>2.8000000000000001E-2</v>
      </c>
    </row>
    <row r="56" spans="1:7" ht="15.95" customHeight="1">
      <c r="A56" s="69"/>
      <c r="B56" s="68"/>
      <c r="C56" s="57"/>
      <c r="D56" s="53"/>
      <c r="E56" s="53"/>
      <c r="F56" s="58"/>
      <c r="G56" s="55"/>
    </row>
    <row r="57" spans="1:7" ht="7.5" customHeight="1">
      <c r="A57" s="69"/>
      <c r="B57" s="68"/>
      <c r="C57" s="57"/>
      <c r="D57" s="53"/>
      <c r="E57" s="53"/>
      <c r="F57" s="58"/>
      <c r="G57" s="55"/>
    </row>
    <row r="58" spans="1:7" ht="15.95" customHeight="1">
      <c r="A58" s="50">
        <v>52020000</v>
      </c>
      <c r="B58" s="75" t="s">
        <v>30</v>
      </c>
      <c r="C58" s="57">
        <f>54042/1000</f>
        <v>54.042000000000002</v>
      </c>
      <c r="D58" s="53">
        <f>44576/1000</f>
        <v>44.576000000000001</v>
      </c>
      <c r="E58" s="53">
        <f>44564/1000</f>
        <v>44.564</v>
      </c>
      <c r="F58" s="58">
        <f>21329/1000</f>
        <v>21.329000000000001</v>
      </c>
      <c r="G58" s="55">
        <f>33379/1000</f>
        <v>33.378999999999998</v>
      </c>
    </row>
    <row r="59" spans="1:7" ht="9.75" customHeight="1">
      <c r="A59" s="50"/>
      <c r="B59" s="76"/>
      <c r="C59" s="57"/>
      <c r="D59" s="53"/>
      <c r="E59" s="53"/>
      <c r="F59" s="58"/>
      <c r="G59" s="55"/>
    </row>
    <row r="60" spans="1:7" ht="15.75" customHeight="1">
      <c r="A60" s="15">
        <v>53013000</v>
      </c>
      <c r="B60" s="17" t="s">
        <v>31</v>
      </c>
      <c r="C60" s="22"/>
      <c r="D60" s="22" t="s">
        <v>6</v>
      </c>
      <c r="E60" s="16">
        <f>42/1000</f>
        <v>4.2000000000000003E-2</v>
      </c>
      <c r="F60" s="13">
        <f>299/1000</f>
        <v>0.29899999999999999</v>
      </c>
      <c r="G60" s="13">
        <f>2219/1000</f>
        <v>2.2189999999999999</v>
      </c>
    </row>
    <row r="61" spans="1:7" ht="15.95" customHeight="1">
      <c r="A61" s="74">
        <v>55050000</v>
      </c>
      <c r="B61" s="51" t="s">
        <v>32</v>
      </c>
      <c r="C61" s="56">
        <f>17191/1000</f>
        <v>17.190999999999999</v>
      </c>
      <c r="D61" s="61" t="s">
        <v>6</v>
      </c>
      <c r="E61" s="56">
        <f>240/1000</f>
        <v>0.24</v>
      </c>
      <c r="F61" s="58">
        <f>949/1000</f>
        <v>0.94899999999999995</v>
      </c>
      <c r="G61" s="55">
        <f>900/1000</f>
        <v>0.9</v>
      </c>
    </row>
    <row r="62" spans="1:7" ht="15.95" customHeight="1">
      <c r="A62" s="74"/>
      <c r="B62" s="51"/>
      <c r="C62" s="56"/>
      <c r="D62" s="61"/>
      <c r="E62" s="56"/>
      <c r="F62" s="58"/>
      <c r="G62" s="55"/>
    </row>
    <row r="63" spans="1:7" ht="8.25" customHeight="1">
      <c r="A63" s="74"/>
      <c r="B63" s="51"/>
      <c r="C63" s="56"/>
      <c r="D63" s="61"/>
      <c r="E63" s="56"/>
      <c r="F63" s="58"/>
      <c r="G63" s="55"/>
    </row>
    <row r="64" spans="1:7" ht="15.95" customHeight="1">
      <c r="A64" s="74">
        <v>63100000</v>
      </c>
      <c r="B64" s="51" t="s">
        <v>33</v>
      </c>
      <c r="C64" s="56">
        <f>277277/1000</f>
        <v>277.27699999999999</v>
      </c>
      <c r="D64" s="53">
        <f>310253/1000</f>
        <v>310.25299999999999</v>
      </c>
      <c r="E64" s="53">
        <f>286647/1000</f>
        <v>286.64699999999999</v>
      </c>
      <c r="F64" s="58">
        <f>119459/1000</f>
        <v>119.459</v>
      </c>
      <c r="G64" s="55">
        <f>313233/1000</f>
        <v>313.233</v>
      </c>
    </row>
    <row r="65" spans="1:7" ht="9.75" customHeight="1">
      <c r="A65" s="74"/>
      <c r="B65" s="52"/>
      <c r="C65" s="56"/>
      <c r="D65" s="53"/>
      <c r="E65" s="53"/>
      <c r="F65" s="58"/>
      <c r="G65" s="55"/>
    </row>
    <row r="66" spans="1:7" ht="15.95" customHeight="1">
      <c r="A66" s="24">
        <v>70010000</v>
      </c>
      <c r="B66" s="17" t="s">
        <v>34</v>
      </c>
      <c r="C66" s="22" t="s">
        <v>6</v>
      </c>
      <c r="D66" s="16">
        <f>38664/1000</f>
        <v>38.664000000000001</v>
      </c>
      <c r="E66" s="16">
        <f>7728/1000</f>
        <v>7.7279999999999998</v>
      </c>
      <c r="F66" s="13">
        <f>12500/1000</f>
        <v>12.5</v>
      </c>
      <c r="G66" s="13">
        <f>27318/1000</f>
        <v>27.318000000000001</v>
      </c>
    </row>
    <row r="67" spans="1:7" ht="15.95" customHeight="1">
      <c r="A67" s="50">
        <v>71120000</v>
      </c>
      <c r="B67" s="75" t="s">
        <v>35</v>
      </c>
      <c r="C67" s="56">
        <f>17/1000</f>
        <v>1.7000000000000001E-2</v>
      </c>
      <c r="D67" s="53">
        <f>11/1000</f>
        <v>1.0999999999999999E-2</v>
      </c>
      <c r="E67" s="53">
        <f>42/1000</f>
        <v>4.2000000000000003E-2</v>
      </c>
      <c r="F67" s="58">
        <f>77/1000</f>
        <v>7.6999999999999999E-2</v>
      </c>
      <c r="G67" s="55">
        <f>993/1000</f>
        <v>0.99299999999999999</v>
      </c>
    </row>
    <row r="68" spans="1:7" ht="15.95" customHeight="1">
      <c r="A68" s="50"/>
      <c r="B68" s="75"/>
      <c r="C68" s="56"/>
      <c r="D68" s="53"/>
      <c r="E68" s="53"/>
      <c r="F68" s="58"/>
      <c r="G68" s="55"/>
    </row>
    <row r="69" spans="1:7" ht="15.95" customHeight="1">
      <c r="A69" s="50"/>
      <c r="B69" s="75"/>
      <c r="C69" s="56"/>
      <c r="D69" s="53"/>
      <c r="E69" s="53"/>
      <c r="F69" s="58"/>
      <c r="G69" s="55"/>
    </row>
    <row r="70" spans="1:7" ht="15.95" customHeight="1">
      <c r="A70" s="50"/>
      <c r="B70" s="75"/>
      <c r="C70" s="56"/>
      <c r="D70" s="53"/>
      <c r="E70" s="53"/>
      <c r="F70" s="58"/>
      <c r="G70" s="55"/>
    </row>
    <row r="71" spans="1:7" ht="15.95" customHeight="1">
      <c r="A71" s="50"/>
      <c r="B71" s="75"/>
      <c r="C71" s="56"/>
      <c r="D71" s="53"/>
      <c r="E71" s="53"/>
      <c r="F71" s="58"/>
      <c r="G71" s="55"/>
    </row>
    <row r="72" spans="1:7" ht="15.95" customHeight="1">
      <c r="A72" s="72">
        <v>72040000</v>
      </c>
      <c r="B72" s="51" t="s">
        <v>36</v>
      </c>
      <c r="C72" s="57">
        <f>503036/1000</f>
        <v>503.036</v>
      </c>
      <c r="D72" s="53">
        <f>253132/1000</f>
        <v>253.13200000000001</v>
      </c>
      <c r="E72" s="53">
        <f>34210/1000</f>
        <v>34.21</v>
      </c>
      <c r="F72" s="58">
        <f>77205/1000</f>
        <v>77.204999999999998</v>
      </c>
      <c r="G72" s="55">
        <f>9015115/1000</f>
        <v>9015.1149999999998</v>
      </c>
    </row>
    <row r="73" spans="1:7" ht="15.95" customHeight="1">
      <c r="A73" s="72"/>
      <c r="B73" s="51"/>
      <c r="C73" s="57"/>
      <c r="D73" s="53"/>
      <c r="E73" s="53"/>
      <c r="F73" s="58"/>
      <c r="G73" s="55"/>
    </row>
    <row r="74" spans="1:7" ht="6" customHeight="1">
      <c r="A74" s="72"/>
      <c r="B74" s="51"/>
      <c r="C74" s="57"/>
      <c r="D74" s="53"/>
      <c r="E74" s="53"/>
      <c r="F74" s="58"/>
      <c r="G74" s="55"/>
    </row>
    <row r="75" spans="1:7" ht="15.95" customHeight="1">
      <c r="A75" s="24">
        <v>74040000</v>
      </c>
      <c r="B75" s="17" t="s">
        <v>37</v>
      </c>
      <c r="C75" s="14">
        <f>861/1000</f>
        <v>0.86099999999999999</v>
      </c>
      <c r="D75" s="16">
        <f>51000/1000</f>
        <v>51</v>
      </c>
      <c r="E75" s="16">
        <f>577/1000</f>
        <v>0.57699999999999996</v>
      </c>
      <c r="F75" s="13">
        <f>151/1000</f>
        <v>0.151</v>
      </c>
      <c r="G75" s="22" t="s">
        <v>6</v>
      </c>
    </row>
    <row r="76" spans="1:7" s="1" customFormat="1" ht="15.95" customHeight="1">
      <c r="A76" s="1">
        <v>76020000</v>
      </c>
      <c r="B76" s="17" t="s">
        <v>38</v>
      </c>
      <c r="C76" s="27">
        <f>10000/1000</f>
        <v>10</v>
      </c>
      <c r="D76" s="28">
        <f>10170/1000</f>
        <v>10.17</v>
      </c>
      <c r="E76" s="28">
        <f>4598/1000</f>
        <v>4.5979999999999999</v>
      </c>
      <c r="F76" s="13">
        <f>274/1000</f>
        <v>0.27400000000000002</v>
      </c>
      <c r="G76" s="13">
        <f>10900/1000</f>
        <v>10.9</v>
      </c>
    </row>
    <row r="77" spans="1:7" ht="15.95" customHeight="1">
      <c r="A77" s="67" t="s">
        <v>39</v>
      </c>
      <c r="B77" s="68" t="s">
        <v>40</v>
      </c>
      <c r="C77" s="61" t="s">
        <v>6</v>
      </c>
      <c r="D77" s="61" t="s">
        <v>6</v>
      </c>
      <c r="E77" s="53">
        <f>803/1000</f>
        <v>0.80300000000000005</v>
      </c>
      <c r="F77" s="55">
        <f>1/1000</f>
        <v>1E-3</v>
      </c>
      <c r="G77" s="55">
        <f>29/1000</f>
        <v>2.9000000000000001E-2</v>
      </c>
    </row>
    <row r="78" spans="1:7" ht="15.95" customHeight="1">
      <c r="A78" s="67"/>
      <c r="B78" s="68"/>
      <c r="C78" s="61"/>
      <c r="D78" s="61"/>
      <c r="E78" s="53"/>
      <c r="F78" s="55"/>
      <c r="G78" s="55"/>
    </row>
    <row r="79" spans="1:7" ht="15.95" customHeight="1">
      <c r="A79" s="67"/>
      <c r="B79" s="68"/>
      <c r="C79" s="61"/>
      <c r="D79" s="61"/>
      <c r="E79" s="53"/>
      <c r="F79" s="55"/>
      <c r="G79" s="55"/>
    </row>
    <row r="80" spans="1:7" ht="15.95" customHeight="1">
      <c r="A80" s="67"/>
      <c r="B80" s="68"/>
      <c r="C80" s="61"/>
      <c r="D80" s="61"/>
      <c r="E80" s="53"/>
      <c r="F80" s="55"/>
      <c r="G80" s="55"/>
    </row>
    <row r="81" spans="1:7" ht="15.95" hidden="1" customHeight="1">
      <c r="A81" s="26" t="s">
        <v>41</v>
      </c>
      <c r="B81" s="29" t="s">
        <v>42</v>
      </c>
      <c r="C81" s="27"/>
      <c r="D81" s="28"/>
      <c r="E81" s="28"/>
      <c r="F81" s="13"/>
      <c r="G81" s="13"/>
    </row>
    <row r="82" spans="1:7" ht="15.95" hidden="1" customHeight="1">
      <c r="A82" s="30"/>
      <c r="B82" s="29" t="s">
        <v>43</v>
      </c>
      <c r="C82" s="27"/>
      <c r="D82" s="28"/>
      <c r="E82" s="28"/>
      <c r="F82" s="13"/>
      <c r="G82" s="13"/>
    </row>
    <row r="83" spans="1:7" ht="15.95" hidden="1" customHeight="1">
      <c r="A83" s="30"/>
      <c r="B83" s="29" t="s">
        <v>44</v>
      </c>
      <c r="C83" s="27"/>
      <c r="D83" s="28"/>
      <c r="E83" s="28"/>
      <c r="F83" s="13"/>
      <c r="G83" s="13"/>
    </row>
    <row r="84" spans="1:7" ht="15.95" hidden="1" customHeight="1">
      <c r="A84" s="30"/>
      <c r="B84" s="29" t="s">
        <v>45</v>
      </c>
      <c r="C84" s="27"/>
      <c r="D84" s="28"/>
      <c r="E84" s="28"/>
      <c r="F84" s="13"/>
      <c r="G84" s="13"/>
    </row>
    <row r="85" spans="1:7" ht="15.95" hidden="1" customHeight="1">
      <c r="A85" s="30"/>
      <c r="B85" s="29" t="s">
        <v>46</v>
      </c>
      <c r="C85" s="27"/>
      <c r="D85" s="28"/>
      <c r="E85" s="28"/>
      <c r="F85" s="13"/>
      <c r="G85" s="13"/>
    </row>
    <row r="86" spans="1:7" ht="15.95" hidden="1" customHeight="1">
      <c r="A86" s="26" t="s">
        <v>47</v>
      </c>
      <c r="B86" s="29" t="s">
        <v>42</v>
      </c>
      <c r="C86" s="27"/>
      <c r="D86" s="28"/>
      <c r="E86" s="28"/>
      <c r="F86" s="13"/>
      <c r="G86" s="13"/>
    </row>
    <row r="87" spans="1:7" ht="15.95" hidden="1" customHeight="1">
      <c r="A87" s="30"/>
      <c r="B87" s="29" t="s">
        <v>43</v>
      </c>
      <c r="C87" s="27"/>
      <c r="D87" s="28"/>
      <c r="E87" s="28"/>
      <c r="F87" s="13"/>
      <c r="G87" s="13"/>
    </row>
    <row r="88" spans="1:7" ht="15.95" hidden="1" customHeight="1">
      <c r="A88" s="30"/>
      <c r="B88" s="29" t="s">
        <v>44</v>
      </c>
      <c r="C88" s="27"/>
      <c r="D88" s="28"/>
      <c r="E88" s="28"/>
      <c r="F88" s="13"/>
      <c r="G88" s="13"/>
    </row>
    <row r="89" spans="1:7" ht="15.95" hidden="1" customHeight="1">
      <c r="A89" s="30"/>
      <c r="B89" s="29" t="s">
        <v>45</v>
      </c>
      <c r="C89" s="27"/>
      <c r="D89" s="28"/>
      <c r="E89" s="28"/>
      <c r="F89" s="13"/>
      <c r="G89" s="13"/>
    </row>
    <row r="90" spans="1:7" ht="15.95" hidden="1" customHeight="1">
      <c r="A90" s="30"/>
      <c r="B90" s="29" t="s">
        <v>48</v>
      </c>
      <c r="C90" s="27"/>
      <c r="D90" s="28"/>
      <c r="E90" s="28"/>
      <c r="F90" s="13"/>
      <c r="G90" s="13"/>
    </row>
    <row r="91" spans="1:7" ht="15.95" customHeight="1">
      <c r="A91" s="67" t="s">
        <v>49</v>
      </c>
      <c r="B91" s="68" t="s">
        <v>50</v>
      </c>
      <c r="C91" s="61" t="s">
        <v>6</v>
      </c>
      <c r="D91" s="61" t="s">
        <v>6</v>
      </c>
      <c r="E91" s="53">
        <f>228/1000</f>
        <v>0.22800000000000001</v>
      </c>
      <c r="F91" s="71" t="s">
        <v>6</v>
      </c>
      <c r="G91" s="71" t="s">
        <v>6</v>
      </c>
    </row>
    <row r="92" spans="1:7" ht="15.95" customHeight="1">
      <c r="A92" s="67"/>
      <c r="B92" s="68"/>
      <c r="C92" s="61"/>
      <c r="D92" s="61"/>
      <c r="E92" s="53"/>
      <c r="F92" s="71"/>
      <c r="G92" s="64"/>
    </row>
    <row r="93" spans="1:7" ht="15.95" customHeight="1">
      <c r="A93" s="67"/>
      <c r="B93" s="68"/>
      <c r="C93" s="61"/>
      <c r="D93" s="61"/>
      <c r="E93" s="53"/>
      <c r="F93" s="71"/>
      <c r="G93" s="64"/>
    </row>
    <row r="94" spans="1:7" ht="15.95" customHeight="1">
      <c r="A94" s="67"/>
      <c r="B94" s="68"/>
      <c r="C94" s="61"/>
      <c r="D94" s="61"/>
      <c r="E94" s="53"/>
      <c r="F94" s="71"/>
      <c r="G94" s="64"/>
    </row>
    <row r="95" spans="1:7" ht="15.95" customHeight="1">
      <c r="A95" s="60">
        <v>85481000</v>
      </c>
      <c r="B95" s="75" t="s">
        <v>51</v>
      </c>
      <c r="C95" s="61" t="s">
        <v>6</v>
      </c>
      <c r="D95" s="61" t="s">
        <v>6</v>
      </c>
      <c r="E95" s="61" t="s">
        <v>6</v>
      </c>
      <c r="F95" s="55">
        <f>2500/1000</f>
        <v>2.5</v>
      </c>
      <c r="G95" s="55">
        <f>62/1000</f>
        <v>6.2E-2</v>
      </c>
    </row>
    <row r="96" spans="1:7" ht="15.95" customHeight="1">
      <c r="A96" s="60"/>
      <c r="B96" s="75"/>
      <c r="C96" s="61"/>
      <c r="D96" s="61"/>
      <c r="E96" s="61"/>
      <c r="F96" s="55"/>
      <c r="G96" s="55"/>
    </row>
    <row r="97" spans="1:7" ht="15.95" customHeight="1">
      <c r="A97" s="60"/>
      <c r="B97" s="75"/>
      <c r="C97" s="61"/>
      <c r="D97" s="61"/>
      <c r="E97" s="61"/>
      <c r="F97" s="55"/>
      <c r="G97" s="55"/>
    </row>
    <row r="98" spans="1:7" ht="15.95" customHeight="1">
      <c r="A98" s="31"/>
      <c r="B98" s="32"/>
      <c r="C98" s="34"/>
      <c r="D98" s="33"/>
      <c r="E98" s="33"/>
      <c r="F98" s="35"/>
      <c r="G98" s="35"/>
    </row>
    <row r="100" spans="1:7" ht="12.75" customHeight="1">
      <c r="A100" s="2" t="s">
        <v>52</v>
      </c>
      <c r="C100" s="2"/>
    </row>
    <row r="101" spans="1:7">
      <c r="A101" s="2" t="s">
        <v>53</v>
      </c>
      <c r="C101" s="2"/>
    </row>
    <row r="102" spans="1:7">
      <c r="A102" s="2" t="s">
        <v>54</v>
      </c>
    </row>
    <row r="103" spans="1:7">
      <c r="A103" s="36" t="s">
        <v>55</v>
      </c>
      <c r="C103" s="2"/>
    </row>
    <row r="104" spans="1:7" s="24" customFormat="1" ht="12.75" customHeight="1">
      <c r="A104" s="18" t="s">
        <v>56</v>
      </c>
    </row>
    <row r="105" spans="1:7">
      <c r="A105" s="36" t="s">
        <v>57</v>
      </c>
      <c r="C105" s="2"/>
    </row>
    <row r="106" spans="1:7">
      <c r="A106" s="36" t="s">
        <v>58</v>
      </c>
      <c r="C106" s="2"/>
    </row>
    <row r="130" spans="1:2">
      <c r="A130" s="37"/>
    </row>
    <row r="131" spans="1:2">
      <c r="A131" s="37"/>
      <c r="B131" s="37"/>
    </row>
    <row r="132" spans="1:2">
      <c r="A132" s="37"/>
      <c r="B132" s="37"/>
    </row>
    <row r="133" spans="1:2">
      <c r="A133" s="37"/>
      <c r="B133" s="37"/>
    </row>
    <row r="134" spans="1:2">
      <c r="A134" s="37"/>
      <c r="B134" s="37"/>
    </row>
    <row r="135" spans="1:2">
      <c r="A135" s="37"/>
      <c r="B135" s="37"/>
    </row>
    <row r="136" spans="1:2">
      <c r="A136" s="37"/>
      <c r="B136" s="37"/>
    </row>
    <row r="137" spans="1:2">
      <c r="A137" s="37"/>
      <c r="B137" s="37"/>
    </row>
    <row r="138" spans="1:2">
      <c r="A138" s="37"/>
      <c r="B138" s="37"/>
    </row>
    <row r="139" spans="1:2">
      <c r="A139" s="37"/>
      <c r="B139" s="37"/>
    </row>
    <row r="140" spans="1:2">
      <c r="A140" s="37"/>
      <c r="B140" s="37"/>
    </row>
    <row r="142" spans="1:2">
      <c r="A142" s="37"/>
      <c r="B142" s="37"/>
    </row>
    <row r="143" spans="1:2">
      <c r="A143" s="37"/>
      <c r="B143" s="37"/>
    </row>
  </sheetData>
  <mergeCells count="180">
    <mergeCell ref="G95:G97"/>
    <mergeCell ref="A95:A97"/>
    <mergeCell ref="B95:B97"/>
    <mergeCell ref="C95:C97"/>
    <mergeCell ref="D95:D97"/>
    <mergeCell ref="E95:E97"/>
    <mergeCell ref="F95:F97"/>
    <mergeCell ref="F77:F80"/>
    <mergeCell ref="G77:G80"/>
    <mergeCell ref="A91:A94"/>
    <mergeCell ref="B91:B94"/>
    <mergeCell ref="C91:C94"/>
    <mergeCell ref="D91:D94"/>
    <mergeCell ref="E91:E94"/>
    <mergeCell ref="F91:F94"/>
    <mergeCell ref="G91:G94"/>
    <mergeCell ref="A77:A80"/>
    <mergeCell ref="B77:B80"/>
    <mergeCell ref="C77:C80"/>
    <mergeCell ref="D77:D80"/>
    <mergeCell ref="E77:E80"/>
    <mergeCell ref="G72:G74"/>
    <mergeCell ref="A72:A74"/>
    <mergeCell ref="B72:B74"/>
    <mergeCell ref="C72:C74"/>
    <mergeCell ref="D72:D74"/>
    <mergeCell ref="E72:E74"/>
    <mergeCell ref="F72:F74"/>
    <mergeCell ref="G64:G65"/>
    <mergeCell ref="B67:B71"/>
    <mergeCell ref="C67:C71"/>
    <mergeCell ref="D67:D71"/>
    <mergeCell ref="E67:E71"/>
    <mergeCell ref="F67:F71"/>
    <mergeCell ref="G67:G71"/>
    <mergeCell ref="A64:A65"/>
    <mergeCell ref="B64:B65"/>
    <mergeCell ref="C64:C65"/>
    <mergeCell ref="D64:D65"/>
    <mergeCell ref="E64:E65"/>
    <mergeCell ref="F64:F65"/>
    <mergeCell ref="A67:A71"/>
    <mergeCell ref="G58:G59"/>
    <mergeCell ref="A61:A63"/>
    <mergeCell ref="B61:B63"/>
    <mergeCell ref="C61:C63"/>
    <mergeCell ref="D61:D63"/>
    <mergeCell ref="E61:E63"/>
    <mergeCell ref="F61:F63"/>
    <mergeCell ref="G61:G63"/>
    <mergeCell ref="A58:A59"/>
    <mergeCell ref="B58:B59"/>
    <mergeCell ref="C58:C59"/>
    <mergeCell ref="D58:D59"/>
    <mergeCell ref="E58:E59"/>
    <mergeCell ref="F58:F59"/>
    <mergeCell ref="G52:G54"/>
    <mergeCell ref="A55:A57"/>
    <mergeCell ref="B55:B57"/>
    <mergeCell ref="C55:C57"/>
    <mergeCell ref="D55:D57"/>
    <mergeCell ref="E55:E57"/>
    <mergeCell ref="F55:F57"/>
    <mergeCell ref="G55:G57"/>
    <mergeCell ref="A52:A54"/>
    <mergeCell ref="B52:B54"/>
    <mergeCell ref="C52:C54"/>
    <mergeCell ref="D52:D54"/>
    <mergeCell ref="E52:E54"/>
    <mergeCell ref="F52:F54"/>
    <mergeCell ref="B50:B51"/>
    <mergeCell ref="C50:C51"/>
    <mergeCell ref="D50:D51"/>
    <mergeCell ref="E50:E51"/>
    <mergeCell ref="F50:F51"/>
    <mergeCell ref="G50:G51"/>
    <mergeCell ref="A48:A49"/>
    <mergeCell ref="B48:B49"/>
    <mergeCell ref="C48:C49"/>
    <mergeCell ref="D48:D49"/>
    <mergeCell ref="E48:E49"/>
    <mergeCell ref="F48:F49"/>
    <mergeCell ref="G48:G49"/>
    <mergeCell ref="G44:G45"/>
    <mergeCell ref="B46:B47"/>
    <mergeCell ref="C46:C47"/>
    <mergeCell ref="D46:D47"/>
    <mergeCell ref="E46:E47"/>
    <mergeCell ref="F46:F47"/>
    <mergeCell ref="G46:G47"/>
    <mergeCell ref="A44:A45"/>
    <mergeCell ref="B44:B45"/>
    <mergeCell ref="C44:C45"/>
    <mergeCell ref="D44:D45"/>
    <mergeCell ref="E44:E45"/>
    <mergeCell ref="F44:F45"/>
    <mergeCell ref="A41:A43"/>
    <mergeCell ref="B41:B43"/>
    <mergeCell ref="C41:C43"/>
    <mergeCell ref="D41:D43"/>
    <mergeCell ref="E41:E43"/>
    <mergeCell ref="F41:F43"/>
    <mergeCell ref="G41:G43"/>
    <mergeCell ref="B37:B40"/>
    <mergeCell ref="C37:C40"/>
    <mergeCell ref="D37:D40"/>
    <mergeCell ref="E37:E40"/>
    <mergeCell ref="F37:F40"/>
    <mergeCell ref="G37:G40"/>
    <mergeCell ref="G30:G33"/>
    <mergeCell ref="A35:A36"/>
    <mergeCell ref="B35:B36"/>
    <mergeCell ref="C35:C36"/>
    <mergeCell ref="D35:D36"/>
    <mergeCell ref="E35:E36"/>
    <mergeCell ref="F35:F36"/>
    <mergeCell ref="G35:G36"/>
    <mergeCell ref="A30:A32"/>
    <mergeCell ref="B30:B33"/>
    <mergeCell ref="C30:C33"/>
    <mergeCell ref="D30:D33"/>
    <mergeCell ref="E30:E33"/>
    <mergeCell ref="F30:F33"/>
    <mergeCell ref="B26:B29"/>
    <mergeCell ref="C26:C28"/>
    <mergeCell ref="D26:D28"/>
    <mergeCell ref="E26:E28"/>
    <mergeCell ref="F26:F28"/>
    <mergeCell ref="G26:G28"/>
    <mergeCell ref="G18:G21"/>
    <mergeCell ref="A23:A25"/>
    <mergeCell ref="B23:B25"/>
    <mergeCell ref="C23:C25"/>
    <mergeCell ref="D23:D25"/>
    <mergeCell ref="E23:E25"/>
    <mergeCell ref="F23:F25"/>
    <mergeCell ref="G23:G25"/>
    <mergeCell ref="A18:A21"/>
    <mergeCell ref="B18:B21"/>
    <mergeCell ref="C18:C21"/>
    <mergeCell ref="D18:D21"/>
    <mergeCell ref="E18:E21"/>
    <mergeCell ref="F18:F21"/>
    <mergeCell ref="G13:G14"/>
    <mergeCell ref="A15:A17"/>
    <mergeCell ref="B15:B17"/>
    <mergeCell ref="C15:C17"/>
    <mergeCell ref="D15:D17"/>
    <mergeCell ref="E15:E17"/>
    <mergeCell ref="F15:F17"/>
    <mergeCell ref="G15:G17"/>
    <mergeCell ref="A13:A14"/>
    <mergeCell ref="B13:B14"/>
    <mergeCell ref="C13:C14"/>
    <mergeCell ref="D13:D14"/>
    <mergeCell ref="E13:E14"/>
    <mergeCell ref="F13:F14"/>
    <mergeCell ref="A9:A10"/>
    <mergeCell ref="B9:B10"/>
    <mergeCell ref="C9:C10"/>
    <mergeCell ref="D9:D10"/>
    <mergeCell ref="E9:E10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1:G2"/>
    <mergeCell ref="A4:A6"/>
    <mergeCell ref="B4:B6"/>
    <mergeCell ref="C4:G4"/>
    <mergeCell ref="C5:C6"/>
    <mergeCell ref="D5:D6"/>
    <mergeCell ref="E5:E6"/>
    <mergeCell ref="F5:F6"/>
    <mergeCell ref="G5:G6"/>
  </mergeCells>
  <pageMargins left="0.70866141732283472" right="0.70866141732283472" top="0.74803149606299213" bottom="0.74803149606299213" header="0.31496062992125984" footer="0.31496062992125984"/>
  <pageSetup paperSize="9" scale="58" orientation="portrait" r:id="rId1"/>
  <rowBreaks count="1" manualBreakCount="1">
    <brk id="75" max="16383" man="1"/>
  </rowBreaks>
  <ignoredErrors>
    <ignoredError sqref="A41 A44 A50 A52 A55 A77 A91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45</vt:lpstr>
      <vt:lpstr>'45'!Títulos_a_imprimir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ACAICEDO</dc:creator>
  <cp:lastModifiedBy>ACAICEDO</cp:lastModifiedBy>
  <cp:lastPrinted>2017-11-22T21:41:34Z</cp:lastPrinted>
  <dcterms:created xsi:type="dcterms:W3CDTF">2017-11-22T21:28:34Z</dcterms:created>
  <dcterms:modified xsi:type="dcterms:W3CDTF">2018-01-12T14:26:49Z</dcterms:modified>
</cp:coreProperties>
</file>