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uadro 44 " sheetId="1" r:id="rId1"/>
  </sheets>
  <definedNames>
    <definedName name="_xlnm.Print_Area" localSheetId="0">'Cuadro 44 '!$A$1:$H$244</definedName>
    <definedName name="_xlnm.Print_Titles" localSheetId="0">'Cuadro 44 '!$1:$5</definedName>
  </definedNames>
  <calcPr calcId="124519"/>
</workbook>
</file>

<file path=xl/calcChain.xml><?xml version="1.0" encoding="utf-8"?>
<calcChain xmlns="http://schemas.openxmlformats.org/spreadsheetml/2006/main">
  <c r="D203" i="1"/>
  <c r="D202"/>
  <c r="D201"/>
  <c r="D195" s="1"/>
  <c r="C200"/>
  <c r="C197"/>
  <c r="G195"/>
  <c r="E195"/>
  <c r="D194"/>
  <c r="H193"/>
  <c r="G193"/>
  <c r="E193"/>
  <c r="D193"/>
  <c r="C193"/>
  <c r="G190"/>
  <c r="E190"/>
  <c r="C190"/>
  <c r="G184"/>
  <c r="E184"/>
  <c r="D184"/>
  <c r="C184"/>
  <c r="H180"/>
  <c r="G180"/>
  <c r="E180"/>
  <c r="C180"/>
  <c r="G178"/>
  <c r="E178"/>
  <c r="D178"/>
  <c r="C178"/>
  <c r="C177"/>
  <c r="C175" s="1"/>
  <c r="D176"/>
  <c r="B176"/>
  <c r="G175"/>
  <c r="E175"/>
  <c r="D175"/>
  <c r="B175"/>
  <c r="C174"/>
  <c r="D171"/>
  <c r="G170"/>
  <c r="E170"/>
  <c r="G168"/>
  <c r="E168"/>
  <c r="D168"/>
  <c r="C168"/>
  <c r="D167"/>
  <c r="B167"/>
  <c r="D166"/>
  <c r="D165"/>
  <c r="D164"/>
  <c r="D163"/>
  <c r="D162"/>
  <c r="C161"/>
  <c r="C159"/>
  <c r="G158"/>
  <c r="E158"/>
  <c r="B158"/>
  <c r="B133" s="1"/>
  <c r="C157"/>
  <c r="C156"/>
  <c r="C155"/>
  <c r="D154"/>
  <c r="D153" s="1"/>
  <c r="G153"/>
  <c r="E153"/>
  <c r="D152"/>
  <c r="D151"/>
  <c r="C150"/>
  <c r="D144"/>
  <c r="C138"/>
  <c r="D135"/>
  <c r="D134"/>
  <c r="G133"/>
  <c r="E133"/>
  <c r="D132"/>
  <c r="D131"/>
  <c r="D130"/>
  <c r="D129"/>
  <c r="B129"/>
  <c r="D128"/>
  <c r="B128"/>
  <c r="D127"/>
  <c r="B127"/>
  <c r="D126"/>
  <c r="D125"/>
  <c r="B125"/>
  <c r="D124"/>
  <c r="B124"/>
  <c r="D123"/>
  <c r="D122"/>
  <c r="C121"/>
  <c r="C119" s="1"/>
  <c r="D120"/>
  <c r="G119"/>
  <c r="E119"/>
  <c r="B119"/>
  <c r="H117"/>
  <c r="E117"/>
  <c r="D117"/>
  <c r="C116"/>
  <c r="C115"/>
  <c r="F114"/>
  <c r="B113"/>
  <c r="D113" s="1"/>
  <c r="B112"/>
  <c r="B108"/>
  <c r="D108" s="1"/>
  <c r="B107"/>
  <c r="D107" s="1"/>
  <c r="B106"/>
  <c r="D106" s="1"/>
  <c r="F105"/>
  <c r="B105"/>
  <c r="D105" s="1"/>
  <c r="D103" s="1"/>
  <c r="G103"/>
  <c r="E103"/>
  <c r="C102"/>
  <c r="G101"/>
  <c r="C101"/>
  <c r="D100"/>
  <c r="D99" s="1"/>
  <c r="B100"/>
  <c r="E99"/>
  <c r="B98"/>
  <c r="D98" s="1"/>
  <c r="B97"/>
  <c r="D97" s="1"/>
  <c r="D96" s="1"/>
  <c r="G96"/>
  <c r="E96"/>
  <c r="C96"/>
  <c r="D95"/>
  <c r="B95"/>
  <c r="D94"/>
  <c r="B94"/>
  <c r="D93"/>
  <c r="B93"/>
  <c r="D92"/>
  <c r="D91"/>
  <c r="B91"/>
  <c r="D90"/>
  <c r="B90"/>
  <c r="D89"/>
  <c r="B89"/>
  <c r="D88"/>
  <c r="B88"/>
  <c r="D87"/>
  <c r="B87"/>
  <c r="D86"/>
  <c r="B86"/>
  <c r="D85"/>
  <c r="B85"/>
  <c r="D84"/>
  <c r="B84"/>
  <c r="D83"/>
  <c r="B83"/>
  <c r="J82"/>
  <c r="F203" s="1"/>
  <c r="G82"/>
  <c r="E82"/>
  <c r="C79"/>
  <c r="F78"/>
  <c r="F76"/>
  <c r="B76"/>
  <c r="B74" s="1"/>
  <c r="C75"/>
  <c r="G74"/>
  <c r="E74"/>
  <c r="F73"/>
  <c r="D73"/>
  <c r="C73"/>
  <c r="B73"/>
  <c r="F72"/>
  <c r="D72"/>
  <c r="C72"/>
  <c r="B72"/>
  <c r="F71"/>
  <c r="F70" s="1"/>
  <c r="D71"/>
  <c r="B71"/>
  <c r="B70" s="1"/>
  <c r="G70"/>
  <c r="E70"/>
  <c r="D70"/>
  <c r="C70"/>
  <c r="B69"/>
  <c r="D69" s="1"/>
  <c r="H68"/>
  <c r="B68"/>
  <c r="H67"/>
  <c r="B67"/>
  <c r="D67" s="1"/>
  <c r="D65" s="1"/>
  <c r="H66"/>
  <c r="B66"/>
  <c r="G65"/>
  <c r="E65"/>
  <c r="C64"/>
  <c r="B63"/>
  <c r="H62"/>
  <c r="D61"/>
  <c r="B61"/>
  <c r="B60" s="1"/>
  <c r="E60"/>
  <c r="D60"/>
  <c r="C59"/>
  <c r="F58"/>
  <c r="F57" s="1"/>
  <c r="B58"/>
  <c r="D58" s="1"/>
  <c r="D57" s="1"/>
  <c r="G57"/>
  <c r="E57"/>
  <c r="C55"/>
  <c r="C52" s="1"/>
  <c r="D54"/>
  <c r="B54"/>
  <c r="D53"/>
  <c r="D52" s="1"/>
  <c r="B53"/>
  <c r="G52"/>
  <c r="E52"/>
  <c r="B52"/>
  <c r="D51"/>
  <c r="D50" s="1"/>
  <c r="B51"/>
  <c r="E50"/>
  <c r="B50"/>
  <c r="D48"/>
  <c r="D47" s="1"/>
  <c r="B48"/>
  <c r="G47"/>
  <c r="E47"/>
  <c r="F46"/>
  <c r="D46"/>
  <c r="D45" s="1"/>
  <c r="C46"/>
  <c r="H45"/>
  <c r="G45"/>
  <c r="F45"/>
  <c r="E45"/>
  <c r="C45"/>
  <c r="D42"/>
  <c r="H41"/>
  <c r="H39" s="1"/>
  <c r="F41"/>
  <c r="F40"/>
  <c r="F39" s="1"/>
  <c r="D40"/>
  <c r="G39"/>
  <c r="E39"/>
  <c r="D39"/>
  <c r="C39"/>
  <c r="C37"/>
  <c r="C27" s="1"/>
  <c r="D30"/>
  <c r="D27" s="1"/>
  <c r="F29"/>
  <c r="F27" s="1"/>
  <c r="C29"/>
  <c r="G27"/>
  <c r="E27"/>
  <c r="F26"/>
  <c r="D26"/>
  <c r="B26"/>
  <c r="B47" s="1"/>
  <c r="G25"/>
  <c r="F25"/>
  <c r="E25"/>
  <c r="D25"/>
  <c r="C25"/>
  <c r="G24"/>
  <c r="F23"/>
  <c r="H22"/>
  <c r="F22"/>
  <c r="C22"/>
  <c r="F21"/>
  <c r="D21"/>
  <c r="F20"/>
  <c r="D20"/>
  <c r="B20"/>
  <c r="D19"/>
  <c r="H18"/>
  <c r="H17"/>
  <c r="F17"/>
  <c r="F16"/>
  <c r="D15"/>
  <c r="C15"/>
  <c r="F15" s="1"/>
  <c r="F14" s="1"/>
  <c r="B15"/>
  <c r="G14"/>
  <c r="E14"/>
  <c r="D14"/>
  <c r="H13"/>
  <c r="H12"/>
  <c r="G11"/>
  <c r="E11"/>
  <c r="D11"/>
  <c r="C11"/>
  <c r="F10"/>
  <c r="F8" s="1"/>
  <c r="D10"/>
  <c r="H8"/>
  <c r="C8"/>
  <c r="E6" l="1"/>
  <c r="F48"/>
  <c r="F47" s="1"/>
  <c r="C47" s="1"/>
  <c r="F49"/>
  <c r="C49" s="1"/>
  <c r="F54"/>
  <c r="F63"/>
  <c r="F77"/>
  <c r="F74" s="1"/>
  <c r="D119"/>
  <c r="D158"/>
  <c r="F86"/>
  <c r="G6"/>
  <c r="H11"/>
  <c r="F50"/>
  <c r="F51"/>
  <c r="C51" s="1"/>
  <c r="F53"/>
  <c r="F52" s="1"/>
  <c r="H58"/>
  <c r="H57" s="1"/>
  <c r="F60"/>
  <c r="C60" s="1"/>
  <c r="F61"/>
  <c r="C61" s="1"/>
  <c r="F66"/>
  <c r="F68"/>
  <c r="C68" s="1"/>
  <c r="F69"/>
  <c r="C69" s="1"/>
  <c r="H76"/>
  <c r="H77"/>
  <c r="H74" s="1"/>
  <c r="F83"/>
  <c r="D82"/>
  <c r="F89"/>
  <c r="B96"/>
  <c r="C14"/>
  <c r="H14"/>
  <c r="B14"/>
  <c r="D181"/>
  <c r="D180" s="1"/>
  <c r="D192" s="1"/>
  <c r="D190" s="1"/>
  <c r="B57"/>
  <c r="C76"/>
  <c r="C74" s="1"/>
  <c r="B82"/>
  <c r="F85"/>
  <c r="F87"/>
  <c r="H90"/>
  <c r="F91"/>
  <c r="C91" s="1"/>
  <c r="C82" s="1"/>
  <c r="F92"/>
  <c r="F95"/>
  <c r="H98"/>
  <c r="F100"/>
  <c r="B103"/>
  <c r="H106"/>
  <c r="D133"/>
  <c r="H65"/>
  <c r="F93"/>
  <c r="H97"/>
  <c r="F99"/>
  <c r="C99" s="1"/>
  <c r="F104"/>
  <c r="H107"/>
  <c r="D76"/>
  <c r="D74" s="1"/>
  <c r="H108"/>
  <c r="H109"/>
  <c r="H110"/>
  <c r="H111"/>
  <c r="H112"/>
  <c r="F113"/>
  <c r="F117"/>
  <c r="F122"/>
  <c r="F123"/>
  <c r="F125"/>
  <c r="F126"/>
  <c r="F128"/>
  <c r="H131"/>
  <c r="H119" s="1"/>
  <c r="F132"/>
  <c r="F135"/>
  <c r="C135" s="1"/>
  <c r="F145"/>
  <c r="F151"/>
  <c r="C151" s="1"/>
  <c r="F152"/>
  <c r="F153"/>
  <c r="F154"/>
  <c r="H162"/>
  <c r="H158" s="1"/>
  <c r="F164"/>
  <c r="C164" s="1"/>
  <c r="F165"/>
  <c r="F166"/>
  <c r="H169"/>
  <c r="H168" s="1"/>
  <c r="D170"/>
  <c r="F170"/>
  <c r="F171"/>
  <c r="F179"/>
  <c r="F178" s="1"/>
  <c r="F181"/>
  <c r="F180" s="1"/>
  <c r="F182"/>
  <c r="H183"/>
  <c r="F185"/>
  <c r="F187"/>
  <c r="H191"/>
  <c r="F192"/>
  <c r="F194"/>
  <c r="F193" s="1"/>
  <c r="F201"/>
  <c r="F202"/>
  <c r="C50"/>
  <c r="C57"/>
  <c r="B65"/>
  <c r="F84"/>
  <c r="H85"/>
  <c r="H86"/>
  <c r="F88"/>
  <c r="F90"/>
  <c r="H92"/>
  <c r="F94"/>
  <c r="F97"/>
  <c r="F98"/>
  <c r="H104"/>
  <c r="F106"/>
  <c r="F107"/>
  <c r="F108"/>
  <c r="F109"/>
  <c r="F110"/>
  <c r="F111"/>
  <c r="F112"/>
  <c r="C112" s="1"/>
  <c r="H113"/>
  <c r="F118"/>
  <c r="F120"/>
  <c r="F124"/>
  <c r="F127"/>
  <c r="F129"/>
  <c r="F130"/>
  <c r="F131"/>
  <c r="F134"/>
  <c r="F144"/>
  <c r="F162"/>
  <c r="F163"/>
  <c r="C163" s="1"/>
  <c r="F167"/>
  <c r="F169"/>
  <c r="F168" s="1"/>
  <c r="F176"/>
  <c r="F175" s="1"/>
  <c r="H179"/>
  <c r="H178" s="1"/>
  <c r="H182"/>
  <c r="F183"/>
  <c r="H185"/>
  <c r="H187"/>
  <c r="F191"/>
  <c r="F190" s="1"/>
  <c r="H192"/>
  <c r="F196"/>
  <c r="C196" s="1"/>
  <c r="H202"/>
  <c r="H195" s="1"/>
  <c r="C63" l="1"/>
  <c r="C62" s="1"/>
  <c r="F62"/>
  <c r="B6"/>
  <c r="F65"/>
  <c r="C158"/>
  <c r="F96"/>
  <c r="F82"/>
  <c r="F184"/>
  <c r="C65"/>
  <c r="D6"/>
  <c r="H96"/>
  <c r="C182"/>
  <c r="C170"/>
  <c r="C153"/>
  <c r="C117"/>
  <c r="C201"/>
  <c r="C195" s="1"/>
  <c r="F195"/>
  <c r="F103"/>
  <c r="H82"/>
  <c r="H190"/>
  <c r="C133"/>
  <c r="H184"/>
  <c r="F158"/>
  <c r="F133"/>
  <c r="F119"/>
  <c r="H103"/>
  <c r="C113"/>
  <c r="C103" s="1"/>
  <c r="C6" l="1"/>
  <c r="C5"/>
  <c r="F6"/>
  <c r="H6"/>
  <c r="H7" s="1"/>
  <c r="F7" l="1"/>
  <c r="C7" s="1"/>
</calcChain>
</file>

<file path=xl/sharedStrings.xml><?xml version="1.0" encoding="utf-8"?>
<sst xmlns="http://schemas.openxmlformats.org/spreadsheetml/2006/main" count="469" uniqueCount="218">
  <si>
    <t>Categoría de manejo y área protegida</t>
  </si>
  <si>
    <t>Superficie (en kilómetros cuadrados)</t>
  </si>
  <si>
    <r>
      <t>Superficie (km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) </t>
    </r>
  </si>
  <si>
    <t>Total</t>
  </si>
  <si>
    <t>Densidad</t>
  </si>
  <si>
    <t>Terrestre (ha)</t>
  </si>
  <si>
    <t>Terrestre</t>
  </si>
  <si>
    <t>Marina (ha)</t>
  </si>
  <si>
    <t>Marina</t>
  </si>
  <si>
    <t xml:space="preserve">                         TOTAL..........................................................................</t>
  </si>
  <si>
    <t xml:space="preserve">                         PROPORCIÓN (1)..........................................................................</t>
  </si>
  <si>
    <t>Área Ambiental Municipal de Carácter</t>
  </si>
  <si>
    <t xml:space="preserve">    Especial...........................................................................................</t>
  </si>
  <si>
    <t xml:space="preserve">   Comunidad de Vaquilla.................................................................</t>
  </si>
  <si>
    <t>-</t>
  </si>
  <si>
    <t>Área de Recursos Manejados (2).................................................................................</t>
  </si>
  <si>
    <t xml:space="preserve">   Banco Volcán........................................................................................................................</t>
  </si>
  <si>
    <t xml:space="preserve">   Cordillera de Coiba..............................................................................................................</t>
  </si>
  <si>
    <t>Área de Uso Múltiple......................................................................................</t>
  </si>
  <si>
    <t xml:space="preserve">   Ciénaga de Las Macanas (3).....................................................................................................................................................</t>
  </si>
  <si>
    <t>...</t>
  </si>
  <si>
    <t xml:space="preserve">   Cinta Norteña.............................................................................................................................</t>
  </si>
  <si>
    <t xml:space="preserve">   Donoso............................................................................................................................................</t>
  </si>
  <si>
    <t xml:space="preserve">   Manglares de los corregimientos de Sajalices, Be-
    </t>
  </si>
  <si>
    <t xml:space="preserve">    juco, Líbano y Punta Chame (3).......................................................................................</t>
  </si>
  <si>
    <t xml:space="preserve">   Santa Isabel.....................................................................................................</t>
  </si>
  <si>
    <t xml:space="preserve">   Subcuenca del río Mensabé.....................................................................................................</t>
  </si>
  <si>
    <t>Área Municipal.............................................................................</t>
  </si>
  <si>
    <t xml:space="preserve">   Cabecera de ríos de los corregimientos El Palmar,
    el Copé y Olá Cabecera
</t>
  </si>
  <si>
    <t xml:space="preserve">   Palmar,El Copé y Olá (Cabecera)........................................................................... </t>
  </si>
  <si>
    <t>Área Natural Recreativa................................................................</t>
  </si>
  <si>
    <t xml:space="preserve">   El Salto de Las Palmas (3)................................................................</t>
  </si>
  <si>
    <t>Área Protegida.................................................................................</t>
  </si>
  <si>
    <t xml:space="preserve">   Cerro San Cristóbal.................................................................................</t>
  </si>
  <si>
    <t>…</t>
  </si>
  <si>
    <t xml:space="preserve">   Manglares y  demás ecosistemas afines dentro 
    del distrito de Penonomé</t>
  </si>
  <si>
    <t xml:space="preserve">    del distrito de Penonomé.........................................................................................    </t>
  </si>
  <si>
    <t xml:space="preserve">   El Encanto y  Cerro La Gallota...................................................................................</t>
  </si>
  <si>
    <t xml:space="preserve">   Los cerros, cuenca de ríos, áreas montañosas y
    otros comprendidos en el corregimiento de Las
    Huacas, distrito de Natá (Cerro Pifá, Culebra, Los
    Chorros, La Potra, La Escoba, La Silla y la Cuen-</t>
  </si>
  <si>
    <t xml:space="preserve">    ca del Río Chico)..............................................................................</t>
  </si>
  <si>
    <t xml:space="preserve">   Los sectores de Alto de Piedra, Serranía del Tute
    </t>
  </si>
  <si>
    <t xml:space="preserve">    y áreas aledañas.................................................................................</t>
  </si>
  <si>
    <t>Área Protegida Municipal...............................................................</t>
  </si>
  <si>
    <t xml:space="preserve">   Isla Pájaro..........................................................................................</t>
  </si>
  <si>
    <t xml:space="preserve">   Costa del Mar Caribe del corregimiento de Calové-
    </t>
  </si>
  <si>
    <t xml:space="preserve">    bora...............................................................................................................</t>
  </si>
  <si>
    <t>Área Protegida Municipal Forestal...................................................................</t>
  </si>
  <si>
    <t xml:space="preserve">   Cerro Cabra..........................................................................</t>
  </si>
  <si>
    <t>Área Protegida y Reserva Natural..............................................</t>
  </si>
  <si>
    <t xml:space="preserve">    Cerro Ancón.........................................................................</t>
  </si>
  <si>
    <t>Área Recreativa................................................................................</t>
  </si>
  <si>
    <t xml:space="preserve">     Lago Gatún...............................................................................</t>
  </si>
  <si>
    <t xml:space="preserve">     Isla Advent, Zorra y Juan Gallegos....................................................................</t>
  </si>
  <si>
    <t>Área Silvestre Protegida...............................................................................</t>
  </si>
  <si>
    <t xml:space="preserve">   Narganá................................................................................................. </t>
  </si>
  <si>
    <t>Bosque Protector...................................................................................</t>
  </si>
  <si>
    <t xml:space="preserve">   Alto Darién............................................................................................ </t>
  </si>
  <si>
    <t xml:space="preserve">   Palo Seco......................................................................................</t>
  </si>
  <si>
    <t xml:space="preserve">   Globo de terreno ubicado en la vertiente del</t>
  </si>
  <si>
    <t xml:space="preserve">    Lago de Miraflores..............................................................................................</t>
  </si>
  <si>
    <t>Bosque Protector y Paisaje Protegido.............................................</t>
  </si>
  <si>
    <t xml:space="preserve">   San Lorenzo.........................................................................................</t>
  </si>
  <si>
    <t xml:space="preserve">   Bahia de Limón.....................................................................................................</t>
  </si>
  <si>
    <t>Corredor Biológico..............................................................................................</t>
  </si>
  <si>
    <t xml:space="preserve">   Serranía del Bagre.....................................................................</t>
  </si>
  <si>
    <t>Humedal.......................................................................................</t>
  </si>
  <si>
    <t xml:space="preserve">   Lagunas de Volcán...................................................................................................</t>
  </si>
  <si>
    <t xml:space="preserve">   Remedios............................................................................................................................</t>
  </si>
  <si>
    <t>Humedales de Importancia Internacional..............................................................</t>
  </si>
  <si>
    <t xml:space="preserve">   Damani-Guariviara...................................................................................................</t>
  </si>
  <si>
    <t xml:space="preserve">   Golfo de Montijo (3)......................................................................................................................</t>
  </si>
  <si>
    <t xml:space="preserve">   Punta Patiño...............................................................................................................................</t>
  </si>
  <si>
    <t xml:space="preserve">   San San Pond Sak....................................................................................................................</t>
  </si>
  <si>
    <t>Monumento Natural...............................................................</t>
  </si>
  <si>
    <t xml:space="preserve">   Barro Colorado (4).......................................................................................................................</t>
  </si>
  <si>
    <t xml:space="preserve">   Cerro Gaital...............................................................................................................................................</t>
  </si>
  <si>
    <t xml:space="preserve">   Los Pozos de Calobre.............................................................</t>
  </si>
  <si>
    <t>Paisaje Protegido..........................................................................</t>
  </si>
  <si>
    <t xml:space="preserve">   Cerro El Gago..........................................................................................</t>
  </si>
  <si>
    <t xml:space="preserve">   Isla Galeta...........................................................................................</t>
  </si>
  <si>
    <t xml:space="preserve">   Isla Escudo de Veraguas-Degó......................................................................</t>
  </si>
  <si>
    <t xml:space="preserve">   Punta Bruja y Manglares del Río Dejal...............................................................</t>
  </si>
  <si>
    <t xml:space="preserve">   Las Islas Orquídeas, Punta Salud, Punta Bohío, 
    Buena Vista, Frijoles y la Península de la Isla </t>
  </si>
  <si>
    <t xml:space="preserve">    Maiz.....................................................................................................</t>
  </si>
  <si>
    <t>Parque Nacional..............................................................................................</t>
  </si>
  <si>
    <t xml:space="preserve">   Altos de Campana...........................................................................................</t>
  </si>
  <si>
    <t xml:space="preserve">   Camino de Cruces................................................................................................................</t>
  </si>
  <si>
    <t xml:space="preserve">   Cerro Hoya.......................................................................................................</t>
  </si>
  <si>
    <t xml:space="preserve">   Coiba......................................................................................................................................</t>
  </si>
  <si>
    <t xml:space="preserve">   Chagres......................................................................................................................................</t>
  </si>
  <si>
    <t xml:space="preserve">   Darién................................................................................................................</t>
  </si>
  <si>
    <t xml:space="preserve"> </t>
  </si>
  <si>
    <t xml:space="preserve">   General de División Omar Torrijos Herrera................................................................................</t>
  </si>
  <si>
    <t xml:space="preserve">   Portobelo.....................................................................................................................................</t>
  </si>
  <si>
    <t xml:space="preserve">   Santa Fe............................................................................................................</t>
  </si>
  <si>
    <t xml:space="preserve">   Sarigua.............................................................................................................</t>
  </si>
  <si>
    <t xml:space="preserve">   Soberanía........................................................................................................................</t>
  </si>
  <si>
    <t xml:space="preserve">   Volcán Barú....................................................................................................................</t>
  </si>
  <si>
    <t xml:space="preserve">   Parque Internacional La Amistad...............................................................................................</t>
  </si>
  <si>
    <t>Parque Nacional Marino...........................................................................</t>
  </si>
  <si>
    <t xml:space="preserve">   Isla Bastimentos.........................................................................................</t>
  </si>
  <si>
    <t xml:space="preserve">   Golfo de Chiriquí................................................................................................</t>
  </si>
  <si>
    <t>Parque Natural...........................................................................................</t>
  </si>
  <si>
    <t xml:space="preserve">   Metropolitano..................................................................................................</t>
  </si>
  <si>
    <t>Patrimonio Natural Hidrológico..............................................</t>
  </si>
  <si>
    <t xml:space="preserve">   Cuencas del Río Cucuyal y Tortí Arriba................................................................................................</t>
  </si>
  <si>
    <t>Refugio de Vida Silvestre.....................................................................</t>
  </si>
  <si>
    <t xml:space="preserve">   Humedal de Bahía de Panamá...........................................................................</t>
  </si>
  <si>
    <t xml:space="preserve">   Cenegón del Mangle (3).............................................................................</t>
  </si>
  <si>
    <t xml:space="preserve">   Isla Cañas.......................................................................................................</t>
  </si>
  <si>
    <t xml:space="preserve">   Isla de Taboga y Urabá....................................................................................</t>
  </si>
  <si>
    <t xml:space="preserve">   Isla Iguana........................................................................................................</t>
  </si>
  <si>
    <t xml:space="preserve">   Isla Montuosa del Golfo de Chiriquí...................................................................................................................</t>
  </si>
  <si>
    <t xml:space="preserve">   Pablo Arturo Barrios.....................................................................................................................</t>
  </si>
  <si>
    <t xml:space="preserve">   Peñon de la Honda......................................................................................................................</t>
  </si>
  <si>
    <t xml:space="preserve">   Playa Boca Vieja..........................................................................................................................................................</t>
  </si>
  <si>
    <r>
      <t xml:space="preserve">   Playa La Barqueta Agrícola..................................................................................................... </t>
    </r>
    <r>
      <rPr>
        <sz val="10"/>
        <color indexed="10"/>
        <rFont val="Arial"/>
        <family val="2"/>
      </rPr>
      <t/>
    </r>
  </si>
  <si>
    <t xml:space="preserve">   Sistema de Humedales de Matusagaratí (3)..................................................................</t>
  </si>
  <si>
    <t>Reserva de Recursos Naturales...........................................................................</t>
  </si>
  <si>
    <t xml:space="preserve">   Cerro Plata....................................................................................................</t>
  </si>
  <si>
    <t>Reserva Ecológica Municipal..........................................................</t>
  </si>
  <si>
    <t xml:space="preserve">   Guagara..................................................................................................................................</t>
  </si>
  <si>
    <t>Reserva Forestal.....................................................................................</t>
  </si>
  <si>
    <t xml:space="preserve">   Bosque Comunal El Colmón...........................................................................................................</t>
  </si>
  <si>
    <t xml:space="preserve">   Barú....................................................................................................................</t>
  </si>
  <si>
    <t xml:space="preserve">   Cerro Camarón y Pedregoso.......................................................................................</t>
  </si>
  <si>
    <t xml:space="preserve">   Cerro Canajagua.......................................................................................................................</t>
  </si>
  <si>
    <t xml:space="preserve">   Chepigana.....................................................................................................</t>
  </si>
  <si>
    <t xml:space="preserve">   El Montoso.......................................................................................................</t>
  </si>
  <si>
    <t xml:space="preserve">   Finca Caraña........................................................................................................</t>
  </si>
  <si>
    <t xml:space="preserve">   Fortuna............................................................................................................</t>
  </si>
  <si>
    <t xml:space="preserve">   La Tronosa........................................................................................................</t>
  </si>
  <si>
    <t xml:space="preserve">   La Yeguada.........................................................................................................................</t>
  </si>
  <si>
    <t xml:space="preserve">   Manglares del distrito de Antón...........................................................................................</t>
  </si>
  <si>
    <t xml:space="preserve">   Santa Ana de Los Santos.................................................................................................</t>
  </si>
  <si>
    <t xml:space="preserve">   Tonosí...................................................................................................................................................................................</t>
  </si>
  <si>
    <t>Reserva Hídrica..............................................................................................</t>
  </si>
  <si>
    <t xml:space="preserve">   Cerro Caraiguana.......................................................................................................................</t>
  </si>
  <si>
    <t xml:space="preserve">   Cerro Cerrezuela........................................................................................................................</t>
  </si>
  <si>
    <t xml:space="preserve">   Cerro Miguel............................................................................................................</t>
  </si>
  <si>
    <t xml:space="preserve">   Cerro Monte Verde...........................................................................................................................................</t>
  </si>
  <si>
    <t xml:space="preserve">   Cerro  Moreno,  Cerro  Iguana, Cerro Gaital, Cerro
    Los Volteaderos, Cerro Hacha, Cerro Pita, El Vie-
    jito, Cerro La Hoya, Cerro Corral, Cerro Mano de
    Piedra, Cerro Santo Domingo, Cerro Unión Bolivar,
    Cerro San Lucas, Cerro Guacamaya, Cerro Negro,</t>
  </si>
  <si>
    <t xml:space="preserve">    Cerro Belencillo, Cerro Zapillo y Zapillón..............................................................................................................................</t>
  </si>
  <si>
    <t xml:space="preserve">   Cerro Turega y Cucuasal.....................................................................................................</t>
  </si>
  <si>
    <t xml:space="preserve">   Cerro Peñón.......................................................................................................</t>
  </si>
  <si>
    <t xml:space="preserve">   Cerro Verde</t>
  </si>
  <si>
    <t xml:space="preserve">   Cerros, ríos  y  afluentes de agua de los corregi-
    mientos de Llano Grande, El Harino, Piedras Gor-   
    das, Las Lomas, El Potrero y La Pintada (Cabece- </t>
  </si>
  <si>
    <t xml:space="preserve">    ra)...................................................................................................................</t>
  </si>
  <si>
    <t xml:space="preserve">   Mimitimbi.........................................................................................................</t>
  </si>
  <si>
    <t xml:space="preserve">   Río San Miguel y sus afluentes....................................................................</t>
  </si>
  <si>
    <t>Reserva Hídrica y Bosque Protegido..........................................................</t>
  </si>
  <si>
    <t xml:space="preserve">   Cerro Guacamaya............................................................................................................</t>
  </si>
  <si>
    <t>Reserva Hídrica y Forestal..................................................................</t>
  </si>
  <si>
    <t xml:space="preserve">    Río Cañazas y sus afluentes...............................................................................................</t>
  </si>
  <si>
    <t xml:space="preserve">    Río Corita y sus afluentes.......................................................................................................</t>
  </si>
  <si>
    <t>Reserva Hidrológica.......................................................................................</t>
  </si>
  <si>
    <t xml:space="preserve">   Cerro La India Dormida, Caraiguana, Coscorrón,
    Guacamayo, La Cruz, El Sombrero y otros</t>
  </si>
  <si>
    <t xml:space="preserve">   Guacamayo, La Cruz, El Sombrero y otros.........................................................................................................</t>
  </si>
  <si>
    <t xml:space="preserve">   Cerro Miguel</t>
  </si>
  <si>
    <t xml:space="preserve">   Isla del Rey...........................................................................................................</t>
  </si>
  <si>
    <t xml:space="preserve">   Isla Majé........................................................................................................</t>
  </si>
  <si>
    <t xml:space="preserve">   Microcuenca del Río Cacao.......................................................................................................</t>
  </si>
  <si>
    <t xml:space="preserve">   Serranía del Darién.................................................................................</t>
  </si>
  <si>
    <t xml:space="preserve">   Santa Isabel................................................................................................................</t>
  </si>
  <si>
    <t xml:space="preserve">   Filo del Tallo-Canglón (5).......................................................................</t>
  </si>
  <si>
    <t>Reserva Municipal....................................................................................</t>
  </si>
  <si>
    <t xml:space="preserve">   Conectividad Biológica PROMIR...........................................................</t>
  </si>
  <si>
    <t>Reserva Natural Municipal..........................................................................</t>
  </si>
  <si>
    <t xml:space="preserve">   Playa Bluff......................................................................................................</t>
  </si>
  <si>
    <t xml:space="preserve">Zona de interés ecológico y turístico y de </t>
  </si>
  <si>
    <r>
      <t xml:space="preserve">   </t>
    </r>
    <r>
      <rPr>
        <b/>
        <sz val="10"/>
        <rFont val="Arial"/>
        <family val="2"/>
      </rPr>
      <t>protección etnocultural e histórica.....................................................................</t>
    </r>
  </si>
  <si>
    <t xml:space="preserve">   Panamá Norte....................................................................................................................</t>
  </si>
  <si>
    <t>Zona de Protección Hidrológica..............................................................</t>
  </si>
  <si>
    <t xml:space="preserve">   Tapagra.............................................................................................................</t>
  </si>
  <si>
    <t xml:space="preserve">   Ribera Oeste del lago Alhajuela.........................................................................................</t>
  </si>
  <si>
    <t>Zona de Reserva..............................................................................................</t>
  </si>
  <si>
    <t xml:space="preserve">   Matumbal (Isla Colón)......................................................................................</t>
  </si>
  <si>
    <t>Zona de Reserva Marino Costera.................................................................</t>
  </si>
  <si>
    <t xml:space="preserve">   Manglares de Panamá Viejo........................................................................</t>
  </si>
  <si>
    <t>Zona Especial de Manejo ARAP...............................................</t>
  </si>
  <si>
    <t xml:space="preserve">   Manglares de la República de Panamá...............................................................................</t>
  </si>
  <si>
    <t>Zona Especial de Manejo Marino Costero....................................</t>
  </si>
  <si>
    <t xml:space="preserve">   Archipielago de las Perlas............................................................................................</t>
  </si>
  <si>
    <t xml:space="preserve">   Parte Sur de la Península de Azuero................................................................................</t>
  </si>
  <si>
    <t xml:space="preserve">   Zona Sur de Veraguas..................................................................................................................</t>
  </si>
  <si>
    <t xml:space="preserve">   Humedales marinos costeros particularmente los 
    manglares de la República de Panamá</t>
  </si>
  <si>
    <t xml:space="preserve">    manglares de la República de Panamá..............................................................................</t>
  </si>
  <si>
    <t>Zona Especial de Protección de ARAP................................</t>
  </si>
  <si>
    <t xml:space="preserve">   Parque Nacional Coiba...........................................................................................................</t>
  </si>
  <si>
    <t xml:space="preserve">   Playa La Marinera..................................................................................................................</t>
  </si>
  <si>
    <t>Zona Protegida de Manglares.................................................</t>
  </si>
  <si>
    <t xml:space="preserve">   Manglares de la Costa del distrito de David..............................................................</t>
  </si>
  <si>
    <t>Por definir....................................................................................</t>
  </si>
  <si>
    <t xml:space="preserve">    Terrenos en la intersección del Río balsa y Tuira....................................</t>
  </si>
  <si>
    <t xml:space="preserve">    Tramos aún no protegido del antiguo Camino de 
    Cruces</t>
  </si>
  <si>
    <t xml:space="preserve">    Cruces..........................................................................................................</t>
  </si>
  <si>
    <t>Por definir  (Continuación)..................................................</t>
  </si>
  <si>
    <t xml:space="preserve">   Tramos no protegidos que bordean el Lago Gatún.............................................</t>
  </si>
  <si>
    <t xml:space="preserve">   Reserva de producción de agua Cerro Borrola.......................................................................</t>
  </si>
  <si>
    <t xml:space="preserve">   Zona  litoral del corregimiento de la Enea.................................................................................</t>
  </si>
  <si>
    <t xml:space="preserve">   Zona  litoral del corregimiento El Espinal........................................................................................</t>
  </si>
  <si>
    <t xml:space="preserve">   Zona de Protección Territorial, Urbana y Ambiental
    Sector Costero de Chitré</t>
  </si>
  <si>
    <t xml:space="preserve">    Sector Costero de Chitré.....................................................................................................................................</t>
  </si>
  <si>
    <t xml:space="preserve">            Las diferencias que se observen entre la superficie total y las superficies terrestre y marina en algunas categorías de manejo, así como en algunos parciales de áreas respectivas, se deben al redondeo de cifras.   </t>
  </si>
  <si>
    <r>
      <t>(1) Proporción calculada con base en una superficie terrestre de 74,768.4 km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y una superficie marína de 319,823.9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</si>
  <si>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(2) La creación de Áreas de Recursos Manejados permite a la República de Panamá cumplir con la Meta de Aichi 11 que establece que para el 2020, al menos el 10 %  de las zonas marinas se han de conservar mediante</t>
  </si>
  <si>
    <t xml:space="preserve">      sistemas de áreas protegidas, administrados de manera eficaz y equitativa.</t>
  </si>
  <si>
    <t>(3) Áreas designadas como terrestres o marinas de conformidad con una mayor cobertura en tierra o mar.</t>
  </si>
  <si>
    <t>(4) Área protegida administrada por el Instituto Smithsonian de Investigaciones Tropicales (STRI).</t>
  </si>
  <si>
    <t xml:space="preserve">(5) Unificación de la Reserva Hidrológica Serranía Filo del Tallo y la Reserva Forestal Canglón. </t>
  </si>
  <si>
    <t xml:space="preserve">… Información no disponible. </t>
  </si>
  <si>
    <t>- Cantidad nula o cero.</t>
  </si>
  <si>
    <t xml:space="preserve">  &lt; </t>
  </si>
  <si>
    <t>0.0 Cuando la cantidad es menor a la mitad de la unidad o fracción decimal adoptada para la expresión del dato.</t>
  </si>
  <si>
    <t>(P) Cifras preliminares.</t>
  </si>
  <si>
    <t xml:space="preserve">Fuente: Programa de Monitoreo de Efectividad de Manejo de Áreas Protegidas, Dirección  de Áreas Protegidas y Vida Silvestre, Ministerio de Ambiente (MIAMBIENTE).  </t>
  </si>
  <si>
    <t xml:space="preserve">NOTA: Las cifras pueden cambiar debido a los procesos de medición y estudio de límites en áreas protegidas. </t>
  </si>
  <si>
    <t>Cuadro 44. SUPERFICIE TERRESTRE Y MARINA DE LAS ÁREAS PROTEGIDAS EN 
 LA REPÚBLICA, SEGÚN CATEGORÍA DE MANEJO : AÑO 2017 (P)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</si>
</sst>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,##0.000000000"/>
    <numFmt numFmtId="166" formatCode="0.0000"/>
    <numFmt numFmtId="167" formatCode="0.0"/>
    <numFmt numFmtId="168" formatCode="_([$€]* #,##0.00_);_([$€]* \(#,##0.00\);_([$€]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8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0" borderId="0" xfId="1" applyFont="1" applyFill="1" applyBorder="1" applyAlignment="1">
      <alignment horizontal="right"/>
    </xf>
    <xf numFmtId="0" fontId="1" fillId="0" borderId="0" xfId="1" applyFill="1"/>
    <xf numFmtId="0" fontId="1" fillId="2" borderId="0" xfId="1" applyFont="1" applyFill="1"/>
    <xf numFmtId="0" fontId="1" fillId="2" borderId="4" xfId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6" xfId="1" applyFont="1" applyFill="1" applyBorder="1"/>
    <xf numFmtId="164" fontId="5" fillId="0" borderId="7" xfId="1" applyNumberFormat="1" applyFont="1" applyFill="1" applyBorder="1"/>
    <xf numFmtId="0" fontId="1" fillId="0" borderId="0" xfId="1" applyFont="1" applyFill="1" applyBorder="1"/>
    <xf numFmtId="4" fontId="1" fillId="0" borderId="0" xfId="1" applyNumberFormat="1" applyFont="1" applyFill="1" applyBorder="1"/>
    <xf numFmtId="164" fontId="1" fillId="0" borderId="7" xfId="1" applyNumberFormat="1" applyFont="1" applyFill="1" applyBorder="1"/>
    <xf numFmtId="164" fontId="1" fillId="0" borderId="6" xfId="1" applyNumberFormat="1" applyFont="1" applyFill="1" applyBorder="1"/>
    <xf numFmtId="164" fontId="1" fillId="0" borderId="0" xfId="1" applyNumberFormat="1" applyFill="1"/>
    <xf numFmtId="0" fontId="2" fillId="0" borderId="0" xfId="0" applyFont="1" applyFill="1"/>
    <xf numFmtId="164" fontId="2" fillId="3" borderId="6" xfId="1" applyNumberFormat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4" fontId="2" fillId="0" borderId="6" xfId="1" applyNumberFormat="1" applyFont="1" applyFill="1" applyBorder="1"/>
    <xf numFmtId="164" fontId="2" fillId="0" borderId="6" xfId="1" applyNumberFormat="1" applyFont="1" applyFill="1" applyBorder="1" applyAlignment="1">
      <alignment horizontal="right"/>
    </xf>
    <xf numFmtId="164" fontId="2" fillId="0" borderId="6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164" fontId="6" fillId="0" borderId="7" xfId="1" applyNumberFormat="1" applyFont="1" applyFill="1" applyBorder="1"/>
    <xf numFmtId="165" fontId="6" fillId="0" borderId="2" xfId="1" applyNumberFormat="1" applyFont="1" applyFill="1" applyBorder="1"/>
    <xf numFmtId="4" fontId="6" fillId="0" borderId="0" xfId="1" applyNumberFormat="1" applyFont="1" applyFill="1" applyBorder="1"/>
    <xf numFmtId="164" fontId="6" fillId="0" borderId="6" xfId="1" applyNumberFormat="1" applyFont="1" applyFill="1" applyBorder="1" applyAlignment="1">
      <alignment horizontal="right"/>
    </xf>
    <xf numFmtId="164" fontId="6" fillId="0" borderId="6" xfId="1" applyNumberFormat="1" applyFont="1" applyFill="1" applyBorder="1"/>
    <xf numFmtId="0" fontId="2" fillId="0" borderId="0" xfId="1" applyFont="1" applyFill="1" applyBorder="1" applyAlignment="1">
      <alignment wrapText="1"/>
    </xf>
    <xf numFmtId="0" fontId="1" fillId="0" borderId="0" xfId="1" applyFont="1" applyFill="1"/>
    <xf numFmtId="165" fontId="2" fillId="0" borderId="2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/>
    <xf numFmtId="4" fontId="1" fillId="0" borderId="7" xfId="1" applyNumberFormat="1" applyFont="1" applyFill="1" applyBorder="1"/>
    <xf numFmtId="164" fontId="1" fillId="0" borderId="6" xfId="1" applyNumberFormat="1" applyFont="1" applyFill="1" applyBorder="1" applyAlignment="1">
      <alignment horizontal="right"/>
    </xf>
    <xf numFmtId="0" fontId="2" fillId="0" borderId="0" xfId="1" applyFont="1" applyFill="1"/>
    <xf numFmtId="164" fontId="1" fillId="0" borderId="0" xfId="1" applyNumberFormat="1" applyFont="1" applyFill="1" applyBorder="1"/>
    <xf numFmtId="164" fontId="2" fillId="0" borderId="7" xfId="1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Alignment="1">
      <alignment horizontal="right"/>
    </xf>
    <xf numFmtId="164" fontId="7" fillId="0" borderId="6" xfId="1" applyNumberFormat="1" applyFont="1" applyFill="1" applyBorder="1"/>
    <xf numFmtId="4" fontId="2" fillId="0" borderId="7" xfId="1" applyNumberFormat="1" applyFont="1" applyFill="1" applyBorder="1"/>
    <xf numFmtId="164" fontId="1" fillId="0" borderId="7" xfId="1" applyNumberFormat="1" applyFont="1" applyFill="1" applyBorder="1" applyAlignment="1">
      <alignment horizontal="right"/>
    </xf>
    <xf numFmtId="4" fontId="1" fillId="0" borderId="7" xfId="1" applyNumberFormat="1" applyFont="1" applyFill="1" applyBorder="1" applyAlignment="1">
      <alignment horizontal="right"/>
    </xf>
    <xf numFmtId="164" fontId="1" fillId="0" borderId="2" xfId="1" applyNumberFormat="1" applyFont="1" applyFill="1" applyBorder="1"/>
    <xf numFmtId="4" fontId="1" fillId="0" borderId="2" xfId="1" applyNumberFormat="1" applyFont="1" applyFill="1" applyBorder="1"/>
    <xf numFmtId="164" fontId="1" fillId="0" borderId="2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1" fillId="0" borderId="2" xfId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/>
    </xf>
    <xf numFmtId="0" fontId="7" fillId="0" borderId="0" xfId="1" applyFont="1" applyFill="1"/>
    <xf numFmtId="3" fontId="1" fillId="0" borderId="7" xfId="1" applyNumberFormat="1" applyFont="1" applyFill="1" applyBorder="1"/>
    <xf numFmtId="164" fontId="8" fillId="0" borderId="6" xfId="1" applyNumberFormat="1" applyFont="1" applyFill="1" applyBorder="1"/>
    <xf numFmtId="4" fontId="2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0" fontId="8" fillId="0" borderId="0" xfId="1" applyFont="1" applyFill="1" applyBorder="1"/>
    <xf numFmtId="0" fontId="8" fillId="0" borderId="0" xfId="1" applyFont="1" applyFill="1"/>
    <xf numFmtId="165" fontId="1" fillId="0" borderId="7" xfId="1" applyNumberFormat="1" applyFont="1" applyFill="1" applyBorder="1"/>
    <xf numFmtId="4" fontId="1" fillId="0" borderId="6" xfId="1" applyNumberFormat="1" applyFont="1" applyFill="1" applyBorder="1"/>
    <xf numFmtId="0" fontId="1" fillId="0" borderId="0" xfId="1" applyFill="1" applyBorder="1"/>
    <xf numFmtId="4" fontId="2" fillId="0" borderId="7" xfId="1" applyNumberFormat="1" applyFont="1" applyFill="1" applyBorder="1" applyAlignment="1">
      <alignment horizontal="right"/>
    </xf>
    <xf numFmtId="0" fontId="7" fillId="0" borderId="0" xfId="1" applyFont="1" applyFill="1" applyBorder="1"/>
    <xf numFmtId="164" fontId="1" fillId="0" borderId="6" xfId="1" applyNumberFormat="1" applyFill="1" applyBorder="1"/>
    <xf numFmtId="0" fontId="2" fillId="0" borderId="0" xfId="1" applyFont="1" applyFill="1" applyBorder="1" applyAlignment="1">
      <alignment vertical="top" wrapText="1"/>
    </xf>
    <xf numFmtId="4" fontId="1" fillId="0" borderId="0" xfId="1" applyNumberFormat="1" applyFont="1" applyFill="1"/>
    <xf numFmtId="0" fontId="1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/>
    </xf>
    <xf numFmtId="4" fontId="1" fillId="0" borderId="6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164" fontId="2" fillId="0" borderId="0" xfId="1" applyNumberFormat="1" applyFont="1" applyFill="1" applyBorder="1"/>
    <xf numFmtId="165" fontId="1" fillId="0" borderId="7" xfId="1" applyNumberFormat="1" applyFont="1" applyFill="1" applyBorder="1" applyAlignment="1">
      <alignment horizontal="right"/>
    </xf>
    <xf numFmtId="0" fontId="2" fillId="0" borderId="2" xfId="1" applyFont="1" applyFill="1" applyBorder="1"/>
    <xf numFmtId="164" fontId="7" fillId="0" borderId="0" xfId="1" applyNumberFormat="1" applyFont="1" applyFill="1" applyBorder="1"/>
    <xf numFmtId="0" fontId="2" fillId="0" borderId="0" xfId="1" applyFont="1" applyFill="1" applyBorder="1" applyAlignment="1"/>
    <xf numFmtId="164" fontId="2" fillId="0" borderId="0" xfId="1" applyNumberFormat="1" applyFont="1" applyFill="1"/>
    <xf numFmtId="0" fontId="2" fillId="0" borderId="0" xfId="1" applyFont="1" applyFill="1" applyAlignment="1">
      <alignment horizontal="left"/>
    </xf>
    <xf numFmtId="165" fontId="1" fillId="0" borderId="2" xfId="1" applyNumberFormat="1" applyFont="1" applyFill="1" applyBorder="1" applyAlignment="1">
      <alignment horizontal="right"/>
    </xf>
    <xf numFmtId="165" fontId="1" fillId="0" borderId="2" xfId="1" applyNumberFormat="1" applyFont="1" applyFill="1" applyBorder="1"/>
    <xf numFmtId="1" fontId="1" fillId="0" borderId="2" xfId="1" applyNumberFormat="1" applyFont="1" applyFill="1" applyBorder="1" applyAlignment="1">
      <alignment horizontal="left"/>
    </xf>
    <xf numFmtId="165" fontId="2" fillId="0" borderId="2" xfId="1" applyNumberFormat="1" applyFont="1" applyFill="1" applyBorder="1"/>
    <xf numFmtId="165" fontId="1" fillId="0" borderId="0" xfId="1" applyNumberFormat="1" applyFont="1" applyFill="1"/>
    <xf numFmtId="0" fontId="2" fillId="0" borderId="2" xfId="1" applyFont="1" applyFill="1" applyBorder="1" applyAlignment="1">
      <alignment horizontal="lef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left"/>
    </xf>
    <xf numFmtId="4" fontId="10" fillId="0" borderId="0" xfId="2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65" fontId="1" fillId="0" borderId="0" xfId="1" applyNumberFormat="1" applyFont="1" applyFill="1" applyBorder="1"/>
    <xf numFmtId="4" fontId="13" fillId="0" borderId="0" xfId="1" applyNumberFormat="1" applyFont="1" applyFill="1" applyBorder="1"/>
    <xf numFmtId="0" fontId="14" fillId="0" borderId="0" xfId="1" applyFont="1" applyFill="1" applyBorder="1" applyAlignment="1">
      <alignment horizontal="left" vertical="center"/>
    </xf>
    <xf numFmtId="10" fontId="14" fillId="0" borderId="0" xfId="1" applyNumberFormat="1" applyFont="1" applyFill="1" applyBorder="1" applyAlignment="1">
      <alignment vertical="center"/>
    </xf>
    <xf numFmtId="165" fontId="1" fillId="0" borderId="6" xfId="1" applyNumberFormat="1" applyFont="1" applyFill="1" applyBorder="1"/>
    <xf numFmtId="165" fontId="2" fillId="0" borderId="6" xfId="1" applyNumberFormat="1" applyFont="1" applyFill="1" applyBorder="1"/>
    <xf numFmtId="4" fontId="7" fillId="0" borderId="6" xfId="1" applyNumberFormat="1" applyFont="1" applyFill="1" applyBorder="1"/>
    <xf numFmtId="4" fontId="2" fillId="0" borderId="6" xfId="1" applyNumberFormat="1" applyFont="1" applyFill="1" applyBorder="1" applyAlignment="1">
      <alignment horizontal="right"/>
    </xf>
    <xf numFmtId="3" fontId="1" fillId="0" borderId="7" xfId="1" applyNumberFormat="1" applyFont="1" applyFill="1" applyBorder="1" applyAlignment="1">
      <alignment horizontal="right"/>
    </xf>
    <xf numFmtId="4" fontId="1" fillId="0" borderId="0" xfId="1" applyNumberFormat="1" applyFill="1"/>
    <xf numFmtId="4" fontId="1" fillId="0" borderId="0" xfId="1" applyNumberFormat="1" applyFill="1" applyAlignment="1">
      <alignment horizontal="right"/>
    </xf>
    <xf numFmtId="166" fontId="1" fillId="0" borderId="7" xfId="1" applyNumberFormat="1" applyFont="1" applyFill="1" applyBorder="1"/>
    <xf numFmtId="166" fontId="1" fillId="0" borderId="6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wrapText="1"/>
    </xf>
    <xf numFmtId="167" fontId="1" fillId="0" borderId="7" xfId="1" applyNumberFormat="1" applyFont="1" applyFill="1" applyBorder="1"/>
    <xf numFmtId="167" fontId="1" fillId="0" borderId="6" xfId="1" applyNumberFormat="1" applyFont="1" applyFill="1" applyBorder="1"/>
    <xf numFmtId="0" fontId="1" fillId="0" borderId="2" xfId="1" applyFont="1" applyFill="1" applyBorder="1" applyAlignment="1">
      <alignment wrapText="1"/>
    </xf>
    <xf numFmtId="164" fontId="1" fillId="0" borderId="8" xfId="1" applyNumberFormat="1" applyFont="1" applyFill="1" applyBorder="1"/>
    <xf numFmtId="3" fontId="1" fillId="0" borderId="0" xfId="1" applyNumberFormat="1" applyFont="1" applyFill="1" applyBorder="1"/>
    <xf numFmtId="0" fontId="1" fillId="0" borderId="3" xfId="1" applyFont="1" applyFill="1" applyBorder="1"/>
    <xf numFmtId="0" fontId="1" fillId="0" borderId="1" xfId="1" applyFont="1" applyFill="1" applyBorder="1"/>
    <xf numFmtId="164" fontId="1" fillId="0" borderId="1" xfId="1" applyNumberFormat="1" applyFont="1" applyFill="1" applyBorder="1"/>
    <xf numFmtId="4" fontId="1" fillId="0" borderId="1" xfId="1" applyNumberFormat="1" applyFont="1" applyFill="1" applyBorder="1"/>
    <xf numFmtId="164" fontId="16" fillId="0" borderId="0" xfId="1" applyNumberFormat="1" applyFont="1" applyFill="1" applyBorder="1"/>
    <xf numFmtId="0" fontId="3" fillId="0" borderId="0" xfId="1" applyFont="1" applyFill="1"/>
    <xf numFmtId="164" fontId="3" fillId="0" borderId="0" xfId="1" applyNumberFormat="1" applyFont="1" applyFill="1" applyBorder="1"/>
    <xf numFmtId="0" fontId="1" fillId="0" borderId="0" xfId="1" applyFont="1" applyFill="1" applyBorder="1" applyAlignment="1">
      <alignment horizontal="left"/>
    </xf>
    <xf numFmtId="49" fontId="1" fillId="0" borderId="0" xfId="1" applyNumberFormat="1" applyFont="1" applyFill="1" applyBorder="1"/>
    <xf numFmtId="164" fontId="1" fillId="0" borderId="0" xfId="1" applyNumberFormat="1" applyFont="1" applyFill="1"/>
    <xf numFmtId="164" fontId="17" fillId="0" borderId="0" xfId="1" applyNumberFormat="1" applyFont="1" applyFill="1" applyBorder="1"/>
    <xf numFmtId="164" fontId="1" fillId="0" borderId="0" xfId="1" applyNumberFormat="1" applyFill="1" applyBorder="1"/>
    <xf numFmtId="4" fontId="18" fillId="0" borderId="0" xfId="1" applyNumberFormat="1" applyFont="1" applyFill="1"/>
    <xf numFmtId="0" fontId="3" fillId="0" borderId="0" xfId="1" applyFont="1" applyFill="1" applyAlignment="1">
      <alignment horizontal="center"/>
    </xf>
    <xf numFmtId="164" fontId="1" fillId="0" borderId="7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1" fillId="0" borderId="7" xfId="1" applyNumberFormat="1" applyFont="1" applyFill="1" applyBorder="1"/>
    <xf numFmtId="0" fontId="1" fillId="0" borderId="0" xfId="1" applyFont="1" applyFill="1" applyBorder="1" applyAlignment="1">
      <alignment vertical="top" wrapText="1"/>
    </xf>
    <xf numFmtId="0" fontId="1" fillId="0" borderId="0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4" fontId="1" fillId="0" borderId="0" xfId="1" applyNumberFormat="1" applyFont="1" applyFill="1"/>
    <xf numFmtId="164" fontId="1" fillId="0" borderId="0" xfId="1" applyNumberFormat="1" applyFont="1" applyFill="1" applyBorder="1" applyAlignment="1">
      <alignment horizontal="right"/>
    </xf>
  </cellXfs>
  <cellStyles count="5">
    <cellStyle name="Euro" xfId="3"/>
    <cellStyle name="Normal" xfId="0" builtinId="0"/>
    <cellStyle name="Normal 11" xfId="4"/>
    <cellStyle name="Normal 11 2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5"/>
  <sheetViews>
    <sheetView tabSelected="1" zoomScale="91" zoomScaleNormal="91" zoomScaleSheetLayoutView="73" zoomScalePageLayoutView="67" workbookViewId="0">
      <selection activeCell="H223" sqref="H223"/>
    </sheetView>
  </sheetViews>
  <sheetFormatPr baseColWidth="10" defaultColWidth="21.85546875" defaultRowHeight="12.75"/>
  <cols>
    <col min="1" max="1" width="46.5703125" style="2" customWidth="1"/>
    <col min="2" max="2" width="0.28515625" style="2" hidden="1" customWidth="1"/>
    <col min="3" max="3" width="46.7109375" style="67" customWidth="1"/>
    <col min="4" max="4" width="12.7109375" style="2" hidden="1" customWidth="1"/>
    <col min="5" max="5" width="12.7109375" style="101" hidden="1" customWidth="1"/>
    <col min="6" max="6" width="48.7109375" style="18" customWidth="1"/>
    <col min="7" max="7" width="24.85546875" style="101" hidden="1" customWidth="1"/>
    <col min="8" max="8" width="48.7109375" style="115" customWidth="1"/>
    <col min="9" max="9" width="21.85546875" style="1" customWidth="1"/>
    <col min="10" max="16384" width="21.85546875" style="2"/>
  </cols>
  <sheetData>
    <row r="1" spans="1:16" ht="12.95" customHeight="1">
      <c r="A1" s="127" t="s">
        <v>217</v>
      </c>
      <c r="B1" s="128"/>
      <c r="C1" s="128"/>
      <c r="D1" s="128"/>
      <c r="E1" s="128"/>
      <c r="F1" s="128"/>
      <c r="G1" s="128"/>
      <c r="H1" s="128"/>
    </row>
    <row r="2" spans="1:16" ht="26.25" customHeight="1">
      <c r="A2" s="129"/>
      <c r="B2" s="129"/>
      <c r="C2" s="129"/>
      <c r="D2" s="129"/>
      <c r="E2" s="129"/>
      <c r="F2" s="129"/>
      <c r="G2" s="129"/>
      <c r="H2" s="129"/>
      <c r="I2" s="124"/>
      <c r="J2" s="124"/>
      <c r="K2" s="124"/>
      <c r="L2" s="124"/>
      <c r="M2" s="124"/>
      <c r="N2" s="124"/>
      <c r="O2" s="124"/>
      <c r="P2" s="124"/>
    </row>
    <row r="3" spans="1:16" ht="21.75" customHeight="1">
      <c r="A3" s="130" t="s">
        <v>0</v>
      </c>
      <c r="B3" s="3"/>
      <c r="C3" s="132" t="s">
        <v>1</v>
      </c>
      <c r="D3" s="132"/>
      <c r="E3" s="132"/>
      <c r="F3" s="132"/>
      <c r="G3" s="132"/>
      <c r="H3" s="132"/>
    </row>
    <row r="4" spans="1:16" ht="26.25" customHeight="1">
      <c r="A4" s="131"/>
      <c r="B4" s="4" t="s">
        <v>2</v>
      </c>
      <c r="C4" s="5" t="s">
        <v>3</v>
      </c>
      <c r="D4" s="6" t="s">
        <v>4</v>
      </c>
      <c r="E4" s="7" t="s">
        <v>5</v>
      </c>
      <c r="F4" s="5" t="s">
        <v>6</v>
      </c>
      <c r="G4" s="8" t="s">
        <v>7</v>
      </c>
      <c r="H4" s="9" t="s">
        <v>8</v>
      </c>
      <c r="J4" s="10"/>
    </row>
    <row r="5" spans="1:16" ht="14.25" customHeight="1">
      <c r="A5" s="11"/>
      <c r="B5" s="12"/>
      <c r="C5" s="13">
        <f>C8+C14+C25+C27+C39+C45+C47+C50+C52+C57+C60+C62+C65+C70+C74+C82+C96+C99+C103+C117+C119+C133+C153+C158+C168+C170+C175+C178+C180+C182+C184+C190+C193+C195</f>
        <v>36201.107471814001</v>
      </c>
      <c r="D5" s="14"/>
      <c r="E5" s="15"/>
      <c r="F5" s="16"/>
      <c r="G5" s="15"/>
      <c r="H5" s="17"/>
      <c r="K5" s="18"/>
    </row>
    <row r="6" spans="1:16" ht="18" customHeight="1">
      <c r="A6" s="19" t="s">
        <v>9</v>
      </c>
      <c r="B6" s="20" t="e">
        <f>SUM(B82+B96+#REF!+B99+B65+B74+#REF!+B47+B14+#REF!+#REF!+#REF!+B60+B70+B103+B119+B133+B158+B175)</f>
        <v>#REF!</v>
      </c>
      <c r="C6" s="21">
        <f>C8+C11+C14+C22+C25+C27+C39+C45+C47+C50+C52+C57+C60+C62+C65+C70+C74+C82+C96+C99+C103+C117+C119+C133+C153+C158+C168+C170+C175+C178+C180+C182+C184+C190+C193+C195</f>
        <v>67909.792371813994</v>
      </c>
      <c r="D6" s="22" t="e">
        <f>SUM(D82+D96+#REF!+D99+D65+D74+D47+D25+D14+D50+D57+D52+D60+D70+D103+D119+D133+D153+D158+D170+D175+D174+D181)</f>
        <v>#REF!</v>
      </c>
      <c r="E6" s="23" t="e">
        <f>SUM(E82+E96+E99+E65+E74+E47+E25+E14+E11+E50+E57+E52+E60+E70+E103+E117+E119+E133+E153+E158+E170+E175+E174+E192+E181)</f>
        <v>#VALUE!</v>
      </c>
      <c r="F6" s="24">
        <f>F8+F14+F22+F25+F27+F39+F45+F47+F50+F52+F57+F60+F62+F65+F70+F74+F82+F96+F99+F103+F117+F119+F133+F153+F158+F168+F170+F175+F178+F180+F182+F184+F190+F193+F195</f>
        <v>26572.172155901408</v>
      </c>
      <c r="G6" s="23" t="e">
        <f>G82+G96+G65+G74+G47+G25+G14+G11+G57+G103+G119+G158+G174+G181</f>
        <v>#VALUE!</v>
      </c>
      <c r="H6" s="25">
        <f>H11+H14+H39+H57+H65+H74+H82+H96+H103+H119+H158+H168++H178+H182++H184+H190+H195</f>
        <v>41337.628929999999</v>
      </c>
      <c r="I6" s="26"/>
      <c r="J6" s="18"/>
      <c r="K6" s="18"/>
    </row>
    <row r="7" spans="1:16" ht="18" customHeight="1">
      <c r="A7" s="19" t="s">
        <v>10</v>
      </c>
      <c r="B7" s="27"/>
      <c r="C7" s="28">
        <f>F7+H7</f>
        <v>48.4644374752164</v>
      </c>
      <c r="D7" s="29"/>
      <c r="E7" s="30"/>
      <c r="F7" s="31">
        <f>F6*100/74768.3846</f>
        <v>35.539315578447585</v>
      </c>
      <c r="G7" s="30"/>
      <c r="H7" s="32">
        <f>H6*100/319823.9</f>
        <v>12.925121896768813</v>
      </c>
      <c r="I7" s="26"/>
      <c r="J7" s="18"/>
      <c r="K7" s="18"/>
    </row>
    <row r="8" spans="1:16" ht="18" customHeight="1">
      <c r="A8" s="33" t="s">
        <v>11</v>
      </c>
      <c r="B8" s="34"/>
      <c r="C8" s="133">
        <f>C10</f>
        <v>6.8679999999999994</v>
      </c>
      <c r="D8" s="35"/>
      <c r="E8" s="36"/>
      <c r="F8" s="134">
        <f>F10</f>
        <v>6.8679999999999994</v>
      </c>
      <c r="G8" s="36"/>
      <c r="H8" s="134" t="str">
        <f>H10</f>
        <v>-</v>
      </c>
      <c r="I8" s="26"/>
    </row>
    <row r="9" spans="1:16" ht="18" customHeight="1">
      <c r="A9" s="37" t="s">
        <v>12</v>
      </c>
      <c r="B9" s="34"/>
      <c r="C9" s="133"/>
      <c r="D9" s="35"/>
      <c r="E9" s="36"/>
      <c r="F9" s="134"/>
      <c r="G9" s="36"/>
      <c r="H9" s="134"/>
      <c r="I9" s="26"/>
    </row>
    <row r="10" spans="1:16">
      <c r="A10" s="11" t="s">
        <v>13</v>
      </c>
      <c r="B10" s="17"/>
      <c r="C10" s="16">
        <v>6.8679999999999994</v>
      </c>
      <c r="D10" s="16">
        <f>16702/100</f>
        <v>167.02</v>
      </c>
      <c r="E10" s="38">
        <v>686.8</v>
      </c>
      <c r="F10" s="16">
        <f>+E10*$J$82</f>
        <v>6.8679999999999994</v>
      </c>
      <c r="G10" s="15"/>
      <c r="H10" s="39" t="s">
        <v>14</v>
      </c>
    </row>
    <row r="11" spans="1:16" ht="18" customHeight="1">
      <c r="A11" s="40" t="s">
        <v>15</v>
      </c>
      <c r="B11" s="41"/>
      <c r="C11" s="21">
        <f>SUM(C12:C13)</f>
        <v>31435.7</v>
      </c>
      <c r="D11" s="16">
        <f>SUM(D12:D13)</f>
        <v>0</v>
      </c>
      <c r="E11" s="15">
        <f>SUM(E12:E13)</f>
        <v>0</v>
      </c>
      <c r="F11" s="42" t="s">
        <v>14</v>
      </c>
      <c r="G11" s="36">
        <f>SUM(G12:G13)</f>
        <v>3143571.09</v>
      </c>
      <c r="H11" s="25">
        <f>SUM(H12:H13)</f>
        <v>31435.710900000002</v>
      </c>
      <c r="I11" s="26"/>
    </row>
    <row r="12" spans="1:16" ht="12.95" customHeight="1">
      <c r="A12" s="11" t="s">
        <v>16</v>
      </c>
      <c r="B12" s="41"/>
      <c r="C12" s="16">
        <v>14212.2</v>
      </c>
      <c r="D12" s="41"/>
      <c r="E12" s="15"/>
      <c r="F12" s="42" t="s">
        <v>14</v>
      </c>
      <c r="G12" s="43">
        <v>1421218.79</v>
      </c>
      <c r="H12" s="17">
        <f>G12*$J$82</f>
        <v>14212.187900000001</v>
      </c>
    </row>
    <row r="13" spans="1:16" ht="12.95" customHeight="1">
      <c r="A13" s="11" t="s">
        <v>17</v>
      </c>
      <c r="B13" s="41"/>
      <c r="C13" s="16">
        <v>17223.5</v>
      </c>
      <c r="D13" s="41"/>
      <c r="E13" s="15"/>
      <c r="F13" s="42" t="s">
        <v>14</v>
      </c>
      <c r="G13" s="44">
        <v>1722352.3</v>
      </c>
      <c r="H13" s="17">
        <f>G13*$J$82</f>
        <v>17223.523000000001</v>
      </c>
    </row>
    <row r="14" spans="1:16" ht="18" customHeight="1">
      <c r="A14" s="40" t="s">
        <v>18</v>
      </c>
      <c r="B14" s="45">
        <f>SUM(B15:B20)</f>
        <v>162.06100000000001</v>
      </c>
      <c r="C14" s="21">
        <f>SUM(C15:C21)</f>
        <v>2397.7165858140006</v>
      </c>
      <c r="D14" s="21">
        <f t="shared" ref="D14:G14" si="0">SUM(D15:D21)</f>
        <v>2337.2200000000003</v>
      </c>
      <c r="E14" s="21">
        <f t="shared" si="0"/>
        <v>220062.29285814002</v>
      </c>
      <c r="F14" s="21">
        <f>SUM(F15:F21)</f>
        <v>2120.1998285813997</v>
      </c>
      <c r="G14" s="46">
        <f t="shared" si="0"/>
        <v>18852.37</v>
      </c>
      <c r="H14" s="25">
        <f>SUM(H15:H21)</f>
        <v>277.52289999999999</v>
      </c>
      <c r="I14" s="26"/>
    </row>
    <row r="15" spans="1:16" ht="12.95" customHeight="1">
      <c r="A15" s="34" t="s">
        <v>19</v>
      </c>
      <c r="B15" s="17">
        <f>2000/100</f>
        <v>20</v>
      </c>
      <c r="C15" s="47">
        <f>857.61*J82</f>
        <v>8.5761000000000003</v>
      </c>
      <c r="D15" s="16">
        <f>931/100</f>
        <v>9.31</v>
      </c>
      <c r="E15" s="48" t="s">
        <v>20</v>
      </c>
      <c r="F15" s="47">
        <f>C15</f>
        <v>8.5761000000000003</v>
      </c>
      <c r="G15" s="43" t="s">
        <v>20</v>
      </c>
      <c r="H15" s="39" t="s">
        <v>20</v>
      </c>
    </row>
    <row r="16" spans="1:16" ht="12.95" customHeight="1">
      <c r="A16" s="34" t="s">
        <v>21</v>
      </c>
      <c r="B16" s="17"/>
      <c r="C16" s="47">
        <v>0.570285814</v>
      </c>
      <c r="D16" s="49"/>
      <c r="E16" s="50">
        <v>57.002858140000001</v>
      </c>
      <c r="F16" s="16">
        <f>+E16*$J$82</f>
        <v>0.57002858140000001</v>
      </c>
      <c r="G16" s="15"/>
      <c r="H16" s="39" t="s">
        <v>14</v>
      </c>
    </row>
    <row r="17" spans="1:10" ht="12.95" customHeight="1">
      <c r="A17" s="14" t="s">
        <v>22</v>
      </c>
      <c r="B17" s="17"/>
      <c r="C17" s="16">
        <v>1959.17</v>
      </c>
      <c r="D17" s="51">
        <v>1959.2</v>
      </c>
      <c r="E17" s="52">
        <v>177065.27</v>
      </c>
      <c r="F17" s="16">
        <f>+E17*$J$82</f>
        <v>1770.6526999999999</v>
      </c>
      <c r="G17" s="43">
        <v>18852.37</v>
      </c>
      <c r="H17" s="39">
        <f>G17*J82</f>
        <v>188.52369999999999</v>
      </c>
      <c r="I17" s="26"/>
    </row>
    <row r="18" spans="1:10" ht="12.95" customHeight="1">
      <c r="A18" s="53" t="s">
        <v>23</v>
      </c>
      <c r="B18" s="17"/>
      <c r="C18" s="16"/>
      <c r="D18" s="49"/>
      <c r="E18" s="50"/>
      <c r="F18" s="125" t="s">
        <v>20</v>
      </c>
      <c r="G18" s="15"/>
      <c r="H18" s="126">
        <f>C19</f>
        <v>88.999200000000002</v>
      </c>
    </row>
    <row r="19" spans="1:10" ht="12.95" customHeight="1">
      <c r="A19" s="54" t="s">
        <v>24</v>
      </c>
      <c r="B19" s="17"/>
      <c r="C19" s="16">
        <v>88.999200000000002</v>
      </c>
      <c r="D19" s="49">
        <f>2831/100</f>
        <v>28.31</v>
      </c>
      <c r="E19" s="50">
        <v>8899.92</v>
      </c>
      <c r="F19" s="125"/>
      <c r="G19" s="15"/>
      <c r="H19" s="126"/>
    </row>
    <row r="20" spans="1:10" ht="12.95" customHeight="1">
      <c r="A20" s="34" t="s">
        <v>25</v>
      </c>
      <c r="B20" s="17">
        <f>14206.1/100</f>
        <v>142.06100000000001</v>
      </c>
      <c r="C20" s="16">
        <v>142.06100000000001</v>
      </c>
      <c r="D20" s="49">
        <f>14206/100</f>
        <v>142.06</v>
      </c>
      <c r="E20" s="50">
        <v>14206.1</v>
      </c>
      <c r="F20" s="16">
        <f>+E20*$J$82</f>
        <v>142.06100000000001</v>
      </c>
      <c r="G20" s="15"/>
      <c r="H20" s="39" t="s">
        <v>14</v>
      </c>
    </row>
    <row r="21" spans="1:10" ht="12.95" customHeight="1">
      <c r="A21" s="11" t="s">
        <v>26</v>
      </c>
      <c r="B21" s="17"/>
      <c r="C21" s="16">
        <v>198.34</v>
      </c>
      <c r="D21" s="41">
        <f>19834/100</f>
        <v>198.34</v>
      </c>
      <c r="E21" s="15">
        <v>19834</v>
      </c>
      <c r="F21" s="16">
        <f>+E21*$J$82</f>
        <v>198.34</v>
      </c>
      <c r="G21" s="15"/>
      <c r="H21" s="39" t="s">
        <v>14</v>
      </c>
    </row>
    <row r="22" spans="1:10" s="40" customFormat="1" ht="18" customHeight="1">
      <c r="A22" s="37" t="s">
        <v>27</v>
      </c>
      <c r="B22" s="55"/>
      <c r="C22" s="42">
        <f>C23</f>
        <v>272.98489999999998</v>
      </c>
      <c r="D22" s="35"/>
      <c r="E22" s="36"/>
      <c r="F22" s="42">
        <f>F23</f>
        <v>272.98490000000004</v>
      </c>
      <c r="G22" s="43" t="s">
        <v>14</v>
      </c>
      <c r="H22" s="24" t="str">
        <f>H23</f>
        <v>-</v>
      </c>
      <c r="I22" s="26"/>
    </row>
    <row r="23" spans="1:10" ht="12.95" customHeight="1">
      <c r="A23" s="53" t="s">
        <v>28</v>
      </c>
      <c r="B23" s="17"/>
      <c r="C23" s="125">
        <v>272.98489999999998</v>
      </c>
      <c r="D23" s="56"/>
      <c r="E23" s="38"/>
      <c r="F23" s="126">
        <f>E24*J82</f>
        <v>272.98490000000004</v>
      </c>
      <c r="G23" s="43"/>
      <c r="H23" s="126" t="s">
        <v>14</v>
      </c>
    </row>
    <row r="24" spans="1:10" ht="12.95" customHeight="1">
      <c r="A24" s="54" t="s">
        <v>29</v>
      </c>
      <c r="B24" s="17"/>
      <c r="C24" s="125"/>
      <c r="D24" s="16"/>
      <c r="E24" s="48">
        <v>27298.49</v>
      </c>
      <c r="F24" s="126"/>
      <c r="G24" s="48">
        <f>I24</f>
        <v>0</v>
      </c>
      <c r="H24" s="126"/>
      <c r="J24" s="14"/>
    </row>
    <row r="25" spans="1:10" s="61" customFormat="1" ht="18" customHeight="1">
      <c r="A25" s="40" t="s">
        <v>30</v>
      </c>
      <c r="B25" s="57"/>
      <c r="C25" s="21">
        <f>C26</f>
        <v>0.55799999999999994</v>
      </c>
      <c r="D25" s="22">
        <f>+D26</f>
        <v>6.16</v>
      </c>
      <c r="E25" s="23">
        <f>SUM(E26:E26)</f>
        <v>0</v>
      </c>
      <c r="F25" s="24">
        <f>F26</f>
        <v>0.55799999999999994</v>
      </c>
      <c r="G25" s="58">
        <f>SUM(G26:G26)</f>
        <v>0</v>
      </c>
      <c r="H25" s="24" t="s">
        <v>14</v>
      </c>
      <c r="I25" s="59"/>
      <c r="J25" s="60"/>
    </row>
    <row r="26" spans="1:10">
      <c r="A26" s="34" t="s">
        <v>31</v>
      </c>
      <c r="B26" s="17">
        <f>60/100</f>
        <v>0.6</v>
      </c>
      <c r="C26" s="47">
        <v>0.55799999999999994</v>
      </c>
      <c r="D26" s="62">
        <f>616/100</f>
        <v>6.16</v>
      </c>
      <c r="E26" s="63" t="s">
        <v>20</v>
      </c>
      <c r="F26" s="39">
        <f>C26</f>
        <v>0.55799999999999994</v>
      </c>
      <c r="G26" s="43" t="s">
        <v>20</v>
      </c>
      <c r="H26" s="39" t="s">
        <v>20</v>
      </c>
      <c r="I26" s="26"/>
      <c r="J26" s="64"/>
    </row>
    <row r="27" spans="1:10" s="55" customFormat="1" ht="18" customHeight="1">
      <c r="A27" s="37" t="s">
        <v>32</v>
      </c>
      <c r="C27" s="42">
        <f>SUM(C28:C38)</f>
        <v>15.832800000000001</v>
      </c>
      <c r="D27" s="42">
        <f>SUM(D28:D38)</f>
        <v>99.68</v>
      </c>
      <c r="E27" s="42">
        <f>SUM(E28:E38)</f>
        <v>1583.28</v>
      </c>
      <c r="F27" s="42">
        <f>SUM(F28:F38)</f>
        <v>15.832800000000001</v>
      </c>
      <c r="G27" s="65">
        <f>SUM(G28:G38)</f>
        <v>0</v>
      </c>
      <c r="H27" s="24" t="s">
        <v>14</v>
      </c>
      <c r="I27" s="59"/>
      <c r="J27" s="66"/>
    </row>
    <row r="28" spans="1:10">
      <c r="A28" s="11" t="s">
        <v>33</v>
      </c>
      <c r="B28" s="17"/>
      <c r="C28" s="47" t="s">
        <v>34</v>
      </c>
      <c r="D28" s="47" t="s">
        <v>34</v>
      </c>
      <c r="E28" s="48" t="s">
        <v>34</v>
      </c>
      <c r="F28" s="47" t="s">
        <v>34</v>
      </c>
      <c r="G28" s="43" t="s">
        <v>34</v>
      </c>
      <c r="H28" s="39" t="s">
        <v>34</v>
      </c>
      <c r="J28" s="64"/>
    </row>
    <row r="29" spans="1:10" ht="12.95" customHeight="1">
      <c r="A29" s="53" t="s">
        <v>35</v>
      </c>
      <c r="B29" s="17"/>
      <c r="C29" s="135">
        <f>15.8328</f>
        <v>15.832800000000001</v>
      </c>
      <c r="D29" s="16"/>
      <c r="E29" s="38"/>
      <c r="F29" s="135">
        <f>+E30*$J$82</f>
        <v>15.832800000000001</v>
      </c>
      <c r="G29" s="15"/>
      <c r="H29" s="126" t="s">
        <v>14</v>
      </c>
      <c r="J29" s="64"/>
    </row>
    <row r="30" spans="1:10" ht="12.95" customHeight="1">
      <c r="A30" s="54" t="s">
        <v>36</v>
      </c>
      <c r="B30" s="17"/>
      <c r="C30" s="135"/>
      <c r="D30" s="16">
        <f>9968/100</f>
        <v>99.68</v>
      </c>
      <c r="E30" s="38">
        <v>1583.28</v>
      </c>
      <c r="F30" s="135"/>
      <c r="G30" s="43" t="s">
        <v>14</v>
      </c>
      <c r="H30" s="126"/>
      <c r="J30" s="64"/>
    </row>
    <row r="31" spans="1:10">
      <c r="A31" s="11" t="s">
        <v>37</v>
      </c>
      <c r="B31" s="17"/>
      <c r="C31" s="47" t="s">
        <v>34</v>
      </c>
      <c r="D31" s="47" t="s">
        <v>34</v>
      </c>
      <c r="E31" s="48" t="s">
        <v>34</v>
      </c>
      <c r="F31" s="47" t="s">
        <v>34</v>
      </c>
      <c r="G31" s="43" t="s">
        <v>34</v>
      </c>
      <c r="H31" s="39" t="s">
        <v>34</v>
      </c>
      <c r="J31" s="64"/>
    </row>
    <row r="32" spans="1:10" ht="12.95" customHeight="1">
      <c r="A32" s="136" t="s">
        <v>38</v>
      </c>
      <c r="B32" s="17"/>
      <c r="D32" s="16"/>
      <c r="E32" s="38"/>
      <c r="F32" s="126" t="s">
        <v>34</v>
      </c>
      <c r="G32" s="15"/>
      <c r="H32" s="126" t="s">
        <v>34</v>
      </c>
      <c r="J32" s="64"/>
    </row>
    <row r="33" spans="1:10" ht="12.95" customHeight="1">
      <c r="A33" s="136"/>
      <c r="B33" s="17"/>
      <c r="C33" s="39"/>
      <c r="D33" s="17"/>
      <c r="E33" s="63"/>
      <c r="F33" s="126"/>
      <c r="G33" s="15"/>
      <c r="H33" s="126"/>
      <c r="I33" s="68"/>
      <c r="J33" s="64"/>
    </row>
    <row r="34" spans="1:10" ht="12.95" customHeight="1">
      <c r="A34" s="136"/>
      <c r="B34" s="17"/>
      <c r="C34" s="39"/>
      <c r="D34" s="34"/>
      <c r="E34" s="69"/>
      <c r="F34" s="126"/>
      <c r="G34" s="15"/>
      <c r="H34" s="126"/>
      <c r="I34" s="68"/>
      <c r="J34" s="64"/>
    </row>
    <row r="35" spans="1:10" ht="12.95" customHeight="1">
      <c r="A35" s="136"/>
      <c r="B35" s="41"/>
      <c r="C35" s="39"/>
      <c r="D35" s="34"/>
      <c r="E35" s="69"/>
      <c r="F35" s="39"/>
      <c r="G35" s="15"/>
      <c r="H35" s="39"/>
      <c r="I35" s="68"/>
      <c r="J35" s="64"/>
    </row>
    <row r="36" spans="1:10" ht="12.95" customHeight="1">
      <c r="A36" s="54" t="s">
        <v>39</v>
      </c>
      <c r="B36" s="41"/>
      <c r="C36" s="47" t="s">
        <v>34</v>
      </c>
      <c r="D36" s="34"/>
      <c r="E36" s="69"/>
      <c r="F36" s="47" t="s">
        <v>34</v>
      </c>
      <c r="G36" s="15"/>
      <c r="H36" s="39" t="s">
        <v>34</v>
      </c>
      <c r="I36" s="68"/>
      <c r="J36" s="64"/>
    </row>
    <row r="37" spans="1:10" ht="12.95" customHeight="1">
      <c r="A37" s="70" t="s">
        <v>40</v>
      </c>
      <c r="B37" s="41"/>
      <c r="C37" s="125" t="str">
        <f>+(F37)</f>
        <v>…</v>
      </c>
      <c r="D37" s="16"/>
      <c r="E37" s="38"/>
      <c r="F37" s="126" t="s">
        <v>34</v>
      </c>
      <c r="G37" s="15"/>
      <c r="H37" s="39"/>
    </row>
    <row r="38" spans="1:10" ht="12.95" customHeight="1">
      <c r="A38" s="71" t="s">
        <v>41</v>
      </c>
      <c r="B38" s="41"/>
      <c r="C38" s="125"/>
      <c r="D38" s="47" t="s">
        <v>34</v>
      </c>
      <c r="E38" s="48" t="s">
        <v>34</v>
      </c>
      <c r="F38" s="126"/>
      <c r="G38" s="43"/>
      <c r="H38" s="39" t="s">
        <v>34</v>
      </c>
    </row>
    <row r="39" spans="1:10" s="55" customFormat="1" ht="18" customHeight="1">
      <c r="A39" s="37" t="s">
        <v>42</v>
      </c>
      <c r="C39" s="42">
        <f>SUM(C40:C42)</f>
        <v>99.6982</v>
      </c>
      <c r="D39" s="42">
        <f t="shared" ref="D39:H39" si="1">SUM(D40:D42)</f>
        <v>101.12</v>
      </c>
      <c r="E39" s="42">
        <f t="shared" si="1"/>
        <v>851.12</v>
      </c>
      <c r="F39" s="42">
        <f t="shared" si="1"/>
        <v>8.5112000000000005</v>
      </c>
      <c r="G39" s="65">
        <f t="shared" si="1"/>
        <v>9118.7000000000007</v>
      </c>
      <c r="H39" s="24">
        <f t="shared" si="1"/>
        <v>91.187000000000012</v>
      </c>
      <c r="I39" s="59"/>
    </row>
    <row r="40" spans="1:10" ht="12.95" customHeight="1">
      <c r="A40" s="11" t="s">
        <v>43</v>
      </c>
      <c r="B40" s="17"/>
      <c r="C40" s="16">
        <v>0.02</v>
      </c>
      <c r="D40" s="16">
        <f>9425/100</f>
        <v>94.25</v>
      </c>
      <c r="E40" s="38">
        <v>2</v>
      </c>
      <c r="F40" s="16">
        <f>+E40*$J$82</f>
        <v>0.02</v>
      </c>
      <c r="G40" s="72" t="s">
        <v>14</v>
      </c>
      <c r="H40" s="39" t="s">
        <v>14</v>
      </c>
      <c r="I40" s="26"/>
    </row>
    <row r="41" spans="1:10" ht="12.95" customHeight="1">
      <c r="A41" s="53" t="s">
        <v>44</v>
      </c>
      <c r="B41" s="17"/>
      <c r="C41" s="125">
        <v>99.678200000000004</v>
      </c>
      <c r="D41" s="47"/>
      <c r="E41" s="48"/>
      <c r="F41" s="135">
        <f>+E42*$J$82</f>
        <v>8.491200000000001</v>
      </c>
      <c r="G41" s="43"/>
      <c r="H41" s="126">
        <f>G42*J82</f>
        <v>91.187000000000012</v>
      </c>
    </row>
    <row r="42" spans="1:10" ht="12.95" customHeight="1">
      <c r="A42" s="54" t="s">
        <v>45</v>
      </c>
      <c r="B42" s="17"/>
      <c r="C42" s="125"/>
      <c r="D42" s="16">
        <f>687/100</f>
        <v>6.87</v>
      </c>
      <c r="E42" s="38">
        <v>849.12</v>
      </c>
      <c r="F42" s="135"/>
      <c r="G42" s="63">
        <v>9118.7000000000007</v>
      </c>
      <c r="H42" s="126"/>
      <c r="J42" s="64"/>
    </row>
    <row r="43" spans="1:10" s="61" customFormat="1" ht="18" customHeight="1">
      <c r="A43" s="37" t="s">
        <v>46</v>
      </c>
      <c r="B43" s="41"/>
      <c r="C43" s="42" t="s">
        <v>34</v>
      </c>
      <c r="D43" s="42" t="s">
        <v>34</v>
      </c>
      <c r="E43" s="65" t="s">
        <v>34</v>
      </c>
      <c r="F43" s="42" t="s">
        <v>34</v>
      </c>
      <c r="G43" s="36" t="s">
        <v>34</v>
      </c>
      <c r="H43" s="24" t="s">
        <v>34</v>
      </c>
      <c r="I43" s="73"/>
      <c r="J43" s="60"/>
    </row>
    <row r="44" spans="1:10" ht="12.95" customHeight="1">
      <c r="A44" s="71" t="s">
        <v>47</v>
      </c>
      <c r="B44" s="41"/>
      <c r="C44" s="47" t="s">
        <v>34</v>
      </c>
      <c r="D44" s="47" t="s">
        <v>34</v>
      </c>
      <c r="E44" s="48" t="s">
        <v>34</v>
      </c>
      <c r="F44" s="47" t="s">
        <v>34</v>
      </c>
      <c r="G44" s="43" t="s">
        <v>34</v>
      </c>
      <c r="H44" s="39" t="s">
        <v>34</v>
      </c>
      <c r="J44" s="64"/>
    </row>
    <row r="45" spans="1:10" s="55" customFormat="1" ht="18" customHeight="1">
      <c r="A45" s="37" t="s">
        <v>48</v>
      </c>
      <c r="B45" s="74"/>
      <c r="C45" s="21">
        <f t="shared" ref="C45:H45" si="2">C46</f>
        <v>0.41202</v>
      </c>
      <c r="D45" s="21">
        <f t="shared" si="2"/>
        <v>0.41</v>
      </c>
      <c r="E45" s="21">
        <f t="shared" si="2"/>
        <v>41.201999999999998</v>
      </c>
      <c r="F45" s="21">
        <f t="shared" si="2"/>
        <v>0.41202</v>
      </c>
      <c r="G45" s="46">
        <f t="shared" si="2"/>
        <v>0</v>
      </c>
      <c r="H45" s="24" t="str">
        <f t="shared" si="2"/>
        <v>-</v>
      </c>
      <c r="I45" s="59"/>
    </row>
    <row r="46" spans="1:10" ht="12.95" customHeight="1">
      <c r="A46" s="34" t="s">
        <v>49</v>
      </c>
      <c r="B46" s="17"/>
      <c r="C46" s="16">
        <f>+(F46)</f>
        <v>0.41202</v>
      </c>
      <c r="D46" s="16">
        <f>41/100</f>
        <v>0.41</v>
      </c>
      <c r="E46" s="38">
        <v>41.201999999999998</v>
      </c>
      <c r="F46" s="16">
        <f>+E46*$J$82</f>
        <v>0.41202</v>
      </c>
      <c r="G46" s="15"/>
      <c r="H46" s="39" t="s">
        <v>14</v>
      </c>
    </row>
    <row r="47" spans="1:10" s="55" customFormat="1" ht="18" customHeight="1">
      <c r="A47" s="40" t="s">
        <v>50</v>
      </c>
      <c r="B47" s="25">
        <f>SUM(B26:B26)</f>
        <v>0.6</v>
      </c>
      <c r="C47" s="21">
        <f>+(F47)</f>
        <v>23.8171</v>
      </c>
      <c r="D47" s="22">
        <f>+D48</f>
        <v>3.48</v>
      </c>
      <c r="E47" s="23">
        <f>SUM(E48:E49)</f>
        <v>2381.71</v>
      </c>
      <c r="F47" s="24">
        <f>SUM(F48:F49)</f>
        <v>23.8171</v>
      </c>
      <c r="G47" s="23">
        <f>SUM(G48:G49)</f>
        <v>0</v>
      </c>
      <c r="H47" s="24" t="s">
        <v>14</v>
      </c>
      <c r="I47" s="59"/>
    </row>
    <row r="48" spans="1:10" ht="12.95" customHeight="1">
      <c r="A48" s="34" t="s">
        <v>51</v>
      </c>
      <c r="B48" s="17">
        <f>348.5/100</f>
        <v>3.4849999999999999</v>
      </c>
      <c r="C48" s="16">
        <v>3.4768000000000003</v>
      </c>
      <c r="D48" s="62">
        <f>348/100</f>
        <v>3.48</v>
      </c>
      <c r="E48" s="63">
        <v>347.6</v>
      </c>
      <c r="F48" s="39">
        <f>+E48*$J$82</f>
        <v>3.4760000000000004</v>
      </c>
      <c r="G48" s="63">
        <v>0</v>
      </c>
      <c r="H48" s="39">
        <v>0</v>
      </c>
    </row>
    <row r="49" spans="1:9">
      <c r="A49" s="34" t="s">
        <v>52</v>
      </c>
      <c r="B49" s="17"/>
      <c r="C49" s="47">
        <f>+(F49)</f>
        <v>20.341100000000001</v>
      </c>
      <c r="D49" s="75" t="s">
        <v>34</v>
      </c>
      <c r="E49" s="72">
        <v>2034.11</v>
      </c>
      <c r="F49" s="39">
        <f>+E49*$J$82</f>
        <v>20.341100000000001</v>
      </c>
      <c r="G49" s="72"/>
      <c r="H49" s="39" t="s">
        <v>34</v>
      </c>
    </row>
    <row r="50" spans="1:9" s="40" customFormat="1" ht="18" customHeight="1">
      <c r="A50" s="40" t="s">
        <v>53</v>
      </c>
      <c r="B50" s="25">
        <f>SUM(B51)</f>
        <v>1000</v>
      </c>
      <c r="C50" s="21">
        <f t="shared" ref="C50:C55" si="3">+(F50)</f>
        <v>994.14779999999996</v>
      </c>
      <c r="D50" s="21">
        <f>+D51</f>
        <v>994.15</v>
      </c>
      <c r="E50" s="46">
        <f>SUM(E51:E51)</f>
        <v>99414.78</v>
      </c>
      <c r="F50" s="21">
        <f>+E50*$J$82</f>
        <v>994.14779999999996</v>
      </c>
      <c r="G50" s="36" t="s">
        <v>14</v>
      </c>
      <c r="H50" s="24" t="s">
        <v>14</v>
      </c>
      <c r="I50" s="26"/>
    </row>
    <row r="51" spans="1:9" ht="12.95" customHeight="1">
      <c r="A51" s="34" t="s">
        <v>54</v>
      </c>
      <c r="B51" s="17">
        <f>100000/100</f>
        <v>1000</v>
      </c>
      <c r="C51" s="16">
        <f t="shared" si="3"/>
        <v>994.14779999999996</v>
      </c>
      <c r="D51" s="16">
        <f>99415/100</f>
        <v>994.15</v>
      </c>
      <c r="E51" s="38">
        <v>99414.78</v>
      </c>
      <c r="F51" s="16">
        <f>+E51*$J$82</f>
        <v>994.14779999999996</v>
      </c>
      <c r="G51" s="43" t="s">
        <v>14</v>
      </c>
      <c r="H51" s="39" t="s">
        <v>14</v>
      </c>
    </row>
    <row r="52" spans="1:9" s="61" customFormat="1" ht="18" customHeight="1">
      <c r="A52" s="40" t="s">
        <v>55</v>
      </c>
      <c r="B52" s="25">
        <f>SUM(B53:B54)</f>
        <v>3369.5837999999999</v>
      </c>
      <c r="C52" s="21">
        <f>SUM(C53:C56)</f>
        <v>4603.8537999999999</v>
      </c>
      <c r="D52" s="21">
        <f>SUM(D53:D56)</f>
        <v>4708.3099999999995</v>
      </c>
      <c r="E52" s="21">
        <f>SUM(E53:E56)</f>
        <v>460385.38</v>
      </c>
      <c r="F52" s="21">
        <f>SUM(F53:F56)</f>
        <v>4603.8537999999999</v>
      </c>
      <c r="G52" s="23">
        <f>SUM(G53:G56)</f>
        <v>0</v>
      </c>
      <c r="H52" s="24" t="s">
        <v>14</v>
      </c>
      <c r="I52" s="59"/>
    </row>
    <row r="53" spans="1:9">
      <c r="A53" s="34" t="s">
        <v>56</v>
      </c>
      <c r="B53" s="17">
        <f>211958.38/100</f>
        <v>2119.5837999999999</v>
      </c>
      <c r="C53" s="16">
        <v>2163.8537999999999</v>
      </c>
      <c r="D53" s="16">
        <f>216385/100</f>
        <v>2163.85</v>
      </c>
      <c r="E53" s="38">
        <v>216385.38</v>
      </c>
      <c r="F53" s="16">
        <f>+E53*$J$82</f>
        <v>2163.8537999999999</v>
      </c>
      <c r="G53" s="15"/>
      <c r="H53" s="39" t="s">
        <v>14</v>
      </c>
    </row>
    <row r="54" spans="1:9">
      <c r="A54" s="34" t="s">
        <v>57</v>
      </c>
      <c r="B54" s="17">
        <f>125000/100</f>
        <v>1250</v>
      </c>
      <c r="C54" s="16">
        <v>2440</v>
      </c>
      <c r="D54" s="16">
        <f>254446/100</f>
        <v>2544.46</v>
      </c>
      <c r="E54" s="38">
        <v>244000</v>
      </c>
      <c r="F54" s="16">
        <f>+E54*$J$82</f>
        <v>2440</v>
      </c>
      <c r="G54" s="15"/>
      <c r="H54" s="39" t="s">
        <v>14</v>
      </c>
    </row>
    <row r="55" spans="1:9" ht="12.95" customHeight="1">
      <c r="A55" s="70" t="s">
        <v>58</v>
      </c>
      <c r="B55" s="41"/>
      <c r="C55" s="125" t="str">
        <f t="shared" si="3"/>
        <v>…</v>
      </c>
      <c r="D55" s="15"/>
      <c r="E55" s="15"/>
      <c r="F55" s="125" t="s">
        <v>34</v>
      </c>
      <c r="G55" s="43"/>
      <c r="H55" s="126" t="s">
        <v>34</v>
      </c>
    </row>
    <row r="56" spans="1:9">
      <c r="A56" s="71" t="s">
        <v>59</v>
      </c>
      <c r="B56" s="41"/>
      <c r="C56" s="125"/>
      <c r="D56" s="52" t="s">
        <v>34</v>
      </c>
      <c r="E56" s="52" t="s">
        <v>34</v>
      </c>
      <c r="F56" s="125"/>
      <c r="G56" s="43" t="s">
        <v>34</v>
      </c>
      <c r="H56" s="126"/>
    </row>
    <row r="57" spans="1:9" s="55" customFormat="1" ht="18" customHeight="1">
      <c r="A57" s="40" t="s">
        <v>60</v>
      </c>
      <c r="B57" s="25">
        <f>SUM(B58)</f>
        <v>120</v>
      </c>
      <c r="C57" s="21">
        <f>+(F57+H57)</f>
        <v>96.534000000000006</v>
      </c>
      <c r="D57" s="21" t="e">
        <f>SUM(D58:D59)</f>
        <v>#REF!</v>
      </c>
      <c r="E57" s="46">
        <f>SUM(E58:E59)</f>
        <v>9440</v>
      </c>
      <c r="F57" s="21">
        <f>F58</f>
        <v>94.4</v>
      </c>
      <c r="G57" s="23">
        <f>SUM(G58:G59)</f>
        <v>213.4</v>
      </c>
      <c r="H57" s="25">
        <f>H58</f>
        <v>2.1339999999999999</v>
      </c>
      <c r="I57" s="59"/>
    </row>
    <row r="58" spans="1:9">
      <c r="A58" s="34" t="s">
        <v>61</v>
      </c>
      <c r="B58" s="17">
        <f>12000/100</f>
        <v>120</v>
      </c>
      <c r="C58" s="16">
        <v>96.53</v>
      </c>
      <c r="D58" s="38" t="e">
        <f>B58/#REF!</f>
        <v>#REF!</v>
      </c>
      <c r="E58" s="38">
        <v>9440</v>
      </c>
      <c r="F58" s="16">
        <f>E58*J82</f>
        <v>94.4</v>
      </c>
      <c r="G58" s="43">
        <v>213.4</v>
      </c>
      <c r="H58" s="17">
        <f>G58*J82</f>
        <v>2.1339999999999999</v>
      </c>
    </row>
    <row r="59" spans="1:9">
      <c r="A59" s="11" t="s">
        <v>62</v>
      </c>
      <c r="B59" s="41"/>
      <c r="C59" s="47" t="str">
        <f>+(F59)</f>
        <v>…</v>
      </c>
      <c r="D59" s="51" t="s">
        <v>34</v>
      </c>
      <c r="E59" s="52" t="s">
        <v>34</v>
      </c>
      <c r="F59" s="47" t="s">
        <v>34</v>
      </c>
      <c r="G59" s="43" t="s">
        <v>34</v>
      </c>
      <c r="H59" s="39" t="s">
        <v>34</v>
      </c>
    </row>
    <row r="60" spans="1:9" s="55" customFormat="1" ht="18" customHeight="1">
      <c r="A60" s="76" t="s">
        <v>63</v>
      </c>
      <c r="B60" s="77">
        <f>SUM(B61)</f>
        <v>312.75</v>
      </c>
      <c r="C60" s="42">
        <f>+(F60)</f>
        <v>312.75</v>
      </c>
      <c r="D60" s="21">
        <f>+D61</f>
        <v>432.39</v>
      </c>
      <c r="E60" s="46">
        <f>SUM(E61:E61)</f>
        <v>31275</v>
      </c>
      <c r="F60" s="21">
        <f>+E60*$J$82</f>
        <v>312.75</v>
      </c>
      <c r="G60" s="36" t="s">
        <v>14</v>
      </c>
      <c r="H60" s="24" t="s">
        <v>14</v>
      </c>
      <c r="I60" s="59"/>
    </row>
    <row r="61" spans="1:9">
      <c r="A61" s="34" t="s">
        <v>64</v>
      </c>
      <c r="B61" s="17">
        <f>31275/100</f>
        <v>312.75</v>
      </c>
      <c r="C61" s="47">
        <f>+(F61)</f>
        <v>312.75</v>
      </c>
      <c r="D61" s="16">
        <f>43239/100</f>
        <v>432.39</v>
      </c>
      <c r="E61" s="38">
        <v>31275</v>
      </c>
      <c r="F61" s="16">
        <f>+E61*$J$82</f>
        <v>312.75</v>
      </c>
      <c r="G61" s="43" t="s">
        <v>14</v>
      </c>
      <c r="H61" s="39" t="s">
        <v>14</v>
      </c>
    </row>
    <row r="62" spans="1:9" s="55" customFormat="1" ht="18" customHeight="1">
      <c r="A62" s="40" t="s">
        <v>65</v>
      </c>
      <c r="B62" s="45"/>
      <c r="C62" s="42">
        <f>C63</f>
        <v>2.5565000000000002</v>
      </c>
      <c r="D62" s="74"/>
      <c r="E62" s="58"/>
      <c r="F62" s="21">
        <f>F63</f>
        <v>2.5565000000000002</v>
      </c>
      <c r="G62" s="58"/>
      <c r="H62" s="24" t="str">
        <f>H63</f>
        <v>-</v>
      </c>
      <c r="I62" s="59"/>
    </row>
    <row r="63" spans="1:9">
      <c r="A63" s="11" t="s">
        <v>66</v>
      </c>
      <c r="B63" s="17">
        <f>142.5/100</f>
        <v>1.425</v>
      </c>
      <c r="C63" s="16">
        <f>+(F63)</f>
        <v>2.5565000000000002</v>
      </c>
      <c r="D63" s="75" t="s">
        <v>20</v>
      </c>
      <c r="E63" s="72">
        <v>255.65</v>
      </c>
      <c r="F63" s="39">
        <f>+E63*$J$82</f>
        <v>2.5565000000000002</v>
      </c>
      <c r="G63" s="43">
        <v>0</v>
      </c>
      <c r="H63" s="39" t="s">
        <v>14</v>
      </c>
    </row>
    <row r="64" spans="1:9">
      <c r="A64" s="11" t="s">
        <v>67</v>
      </c>
      <c r="B64" s="17"/>
      <c r="C64" s="47" t="str">
        <f>F64</f>
        <v>…</v>
      </c>
      <c r="D64" s="75"/>
      <c r="E64" s="72"/>
      <c r="F64" s="47" t="s">
        <v>34</v>
      </c>
      <c r="G64" s="43"/>
      <c r="H64" s="39" t="s">
        <v>34</v>
      </c>
    </row>
    <row r="65" spans="1:10" s="40" customFormat="1" ht="19.5" customHeight="1">
      <c r="A65" s="78" t="s">
        <v>68</v>
      </c>
      <c r="B65" s="25">
        <f t="shared" ref="B65:G65" si="4">SUM(B66:B69)</f>
        <v>1434.7099999999998</v>
      </c>
      <c r="C65" s="42">
        <f>SUM(C66:C69)</f>
        <v>1474.73063</v>
      </c>
      <c r="D65" s="42" t="e">
        <f t="shared" si="4"/>
        <v>#REF!</v>
      </c>
      <c r="E65" s="42">
        <f t="shared" si="4"/>
        <v>44174.34</v>
      </c>
      <c r="F65" s="24">
        <f>SUM(F66:F69)</f>
        <v>441.74340000000001</v>
      </c>
      <c r="G65" s="65">
        <f t="shared" si="4"/>
        <v>9237.48</v>
      </c>
      <c r="H65" s="24">
        <f>SUM(H66:H69)</f>
        <v>1032.9872300000002</v>
      </c>
      <c r="I65" s="26"/>
      <c r="J65" s="79"/>
    </row>
    <row r="66" spans="1:10">
      <c r="A66" s="11" t="s">
        <v>69</v>
      </c>
      <c r="B66" s="17">
        <f>24089/100</f>
        <v>240.89</v>
      </c>
      <c r="C66" s="16">
        <v>240.88759999999999</v>
      </c>
      <c r="D66" s="22"/>
      <c r="E66" s="63">
        <v>23604.45</v>
      </c>
      <c r="F66" s="39">
        <f>+E66*$J$82</f>
        <v>236.0445</v>
      </c>
      <c r="G66" s="43">
        <v>484.31</v>
      </c>
      <c r="H66" s="17">
        <f>G66*$J$82</f>
        <v>4.8430999999999997</v>
      </c>
    </row>
    <row r="67" spans="1:10">
      <c r="A67" s="11" t="s">
        <v>70</v>
      </c>
      <c r="B67" s="17">
        <f>89452/100</f>
        <v>894.52</v>
      </c>
      <c r="C67" s="47">
        <v>940.61243000000002</v>
      </c>
      <c r="D67" s="62" t="e">
        <f>#REF!/B67</f>
        <v>#REF!</v>
      </c>
      <c r="E67" s="72" t="s">
        <v>20</v>
      </c>
      <c r="F67" s="39" t="s">
        <v>20</v>
      </c>
      <c r="G67" s="43" t="s">
        <v>20</v>
      </c>
      <c r="H67" s="39">
        <f>C67</f>
        <v>940.61243000000002</v>
      </c>
    </row>
    <row r="68" spans="1:10">
      <c r="A68" s="11" t="s">
        <v>71</v>
      </c>
      <c r="B68" s="17">
        <f>13805/100</f>
        <v>138.05000000000001</v>
      </c>
      <c r="C68" s="16">
        <f>+(F68+H68)</f>
        <v>131.98060000000001</v>
      </c>
      <c r="D68" s="75" t="s">
        <v>20</v>
      </c>
      <c r="E68" s="72">
        <v>4444.8900000000003</v>
      </c>
      <c r="F68" s="39">
        <f>+E68*$J$82</f>
        <v>44.448900000000002</v>
      </c>
      <c r="G68" s="43">
        <v>8753.17</v>
      </c>
      <c r="H68" s="17">
        <f>G68*$J$82</f>
        <v>87.531700000000001</v>
      </c>
    </row>
    <row r="69" spans="1:10">
      <c r="A69" s="34" t="s">
        <v>72</v>
      </c>
      <c r="B69" s="17">
        <f>16125/100</f>
        <v>161.25</v>
      </c>
      <c r="C69" s="16">
        <f>+F69</f>
        <v>161.25</v>
      </c>
      <c r="D69" s="62" t="e">
        <f>#REF!/B69</f>
        <v>#REF!</v>
      </c>
      <c r="E69" s="63">
        <v>16125</v>
      </c>
      <c r="F69" s="39">
        <f>+E69*$J$82</f>
        <v>161.25</v>
      </c>
      <c r="G69" s="43"/>
      <c r="H69" s="39" t="s">
        <v>14</v>
      </c>
    </row>
    <row r="70" spans="1:10" s="55" customFormat="1" ht="18" customHeight="1">
      <c r="A70" s="40" t="s">
        <v>73</v>
      </c>
      <c r="B70" s="45">
        <f t="shared" ref="B70:G70" si="5">SUM(B71:B73)</f>
        <v>57.39</v>
      </c>
      <c r="C70" s="42">
        <f>SUM(C71:C73)</f>
        <v>91.253</v>
      </c>
      <c r="D70" s="21">
        <f t="shared" si="5"/>
        <v>91.246899999999997</v>
      </c>
      <c r="E70" s="46">
        <f t="shared" si="5"/>
        <v>9125.3000000000011</v>
      </c>
      <c r="F70" s="21">
        <f t="shared" si="5"/>
        <v>91.253</v>
      </c>
      <c r="G70" s="58">
        <f t="shared" si="5"/>
        <v>0</v>
      </c>
      <c r="H70" s="24" t="s">
        <v>14</v>
      </c>
      <c r="I70" s="59"/>
    </row>
    <row r="71" spans="1:10">
      <c r="A71" s="34" t="s">
        <v>74</v>
      </c>
      <c r="B71" s="17">
        <f>5400/100</f>
        <v>54</v>
      </c>
      <c r="C71" s="47">
        <v>81.910799999999995</v>
      </c>
      <c r="D71" s="16">
        <f>8191/100</f>
        <v>81.91</v>
      </c>
      <c r="E71" s="38">
        <v>8191.08</v>
      </c>
      <c r="F71" s="16">
        <f>+E71*$J$82</f>
        <v>81.910799999999995</v>
      </c>
      <c r="G71" s="15"/>
      <c r="H71" s="39" t="s">
        <v>14</v>
      </c>
    </row>
    <row r="72" spans="1:10">
      <c r="A72" s="34" t="s">
        <v>75</v>
      </c>
      <c r="B72" s="17">
        <f>335/100</f>
        <v>3.35</v>
      </c>
      <c r="C72" s="47">
        <f>F72</f>
        <v>5.1169000000000002</v>
      </c>
      <c r="D72" s="17">
        <f>511.69/100</f>
        <v>5.1169000000000002</v>
      </c>
      <c r="E72" s="63">
        <v>511.69</v>
      </c>
      <c r="F72" s="16">
        <f>+E72*$J$82</f>
        <v>5.1169000000000002</v>
      </c>
      <c r="G72" s="15"/>
      <c r="H72" s="39" t="s">
        <v>14</v>
      </c>
    </row>
    <row r="73" spans="1:10">
      <c r="A73" s="14" t="s">
        <v>76</v>
      </c>
      <c r="B73" s="63">
        <f>4/100</f>
        <v>0.04</v>
      </c>
      <c r="C73" s="47">
        <f>+(F73)</f>
        <v>4.2252999999999998</v>
      </c>
      <c r="D73" s="17">
        <f>422/100</f>
        <v>4.22</v>
      </c>
      <c r="E73" s="63">
        <v>422.53</v>
      </c>
      <c r="F73" s="16">
        <f>+E73*$J$82</f>
        <v>4.2252999999999998</v>
      </c>
      <c r="G73" s="15"/>
      <c r="H73" s="39" t="s">
        <v>14</v>
      </c>
    </row>
    <row r="74" spans="1:10" s="55" customFormat="1" ht="18" customHeight="1">
      <c r="A74" s="80" t="s">
        <v>77</v>
      </c>
      <c r="B74" s="45">
        <f>SUM(B76)</f>
        <v>6.0569000000000006</v>
      </c>
      <c r="C74" s="21">
        <f>SUM(C75:C81)</f>
        <v>428.8</v>
      </c>
      <c r="D74" s="21" t="e">
        <f t="shared" ref="D74:H74" si="6">SUM(D75:D81)</f>
        <v>#REF!</v>
      </c>
      <c r="E74" s="21">
        <f t="shared" si="6"/>
        <v>1233.1100000000001</v>
      </c>
      <c r="F74" s="21">
        <f t="shared" si="6"/>
        <v>12.331100000000001</v>
      </c>
      <c r="G74" s="46">
        <f t="shared" si="6"/>
        <v>41646.89</v>
      </c>
      <c r="H74" s="25">
        <f t="shared" si="6"/>
        <v>416.46890000000002</v>
      </c>
      <c r="I74" s="59"/>
    </row>
    <row r="75" spans="1:10">
      <c r="A75" s="34" t="s">
        <v>78</v>
      </c>
      <c r="B75" s="25"/>
      <c r="C75" s="47" t="str">
        <f>+(F75)</f>
        <v>…</v>
      </c>
      <c r="D75" s="81" t="s">
        <v>34</v>
      </c>
      <c r="E75" s="43" t="s">
        <v>34</v>
      </c>
      <c r="F75" s="39" t="s">
        <v>34</v>
      </c>
      <c r="G75" s="43" t="s">
        <v>34</v>
      </c>
      <c r="H75" s="39" t="s">
        <v>34</v>
      </c>
    </row>
    <row r="76" spans="1:10" ht="12.95" customHeight="1">
      <c r="A76" s="11" t="s">
        <v>79</v>
      </c>
      <c r="B76" s="17">
        <f>605.69/100</f>
        <v>6.0569000000000006</v>
      </c>
      <c r="C76" s="16">
        <f>+(F76+H76)</f>
        <v>6.88</v>
      </c>
      <c r="D76" s="82" t="e">
        <f>#REF!/B76</f>
        <v>#REF!</v>
      </c>
      <c r="E76" s="15">
        <v>637.11</v>
      </c>
      <c r="F76" s="39">
        <f>+E76*$J$82</f>
        <v>6.3711000000000002</v>
      </c>
      <c r="G76" s="43">
        <v>50.89</v>
      </c>
      <c r="H76" s="17">
        <f>G76*J82</f>
        <v>0.50890000000000002</v>
      </c>
    </row>
    <row r="77" spans="1:10" ht="12.95" customHeight="1">
      <c r="A77" s="83" t="s">
        <v>80</v>
      </c>
      <c r="B77" s="17"/>
      <c r="C77" s="16">
        <v>421.29</v>
      </c>
      <c r="D77" s="82"/>
      <c r="E77" s="43">
        <v>533</v>
      </c>
      <c r="F77" s="39">
        <f>+E77*$J$82</f>
        <v>5.33</v>
      </c>
      <c r="G77" s="72">
        <v>41596</v>
      </c>
      <c r="H77" s="17">
        <f>G77*J82</f>
        <v>415.96000000000004</v>
      </c>
    </row>
    <row r="78" spans="1:10" ht="12.95" customHeight="1">
      <c r="A78" s="11" t="s">
        <v>81</v>
      </c>
      <c r="B78" s="17"/>
      <c r="C78" s="16">
        <v>0.63</v>
      </c>
      <c r="D78" s="84"/>
      <c r="E78" s="15">
        <v>63</v>
      </c>
      <c r="F78" s="39">
        <f>+E78*$J$82</f>
        <v>0.63</v>
      </c>
      <c r="G78" s="72"/>
      <c r="H78" s="39" t="s">
        <v>14</v>
      </c>
    </row>
    <row r="79" spans="1:10" ht="12.95" customHeight="1">
      <c r="A79" s="136" t="s">
        <v>82</v>
      </c>
      <c r="B79" s="34"/>
      <c r="C79" s="125" t="str">
        <f>+(F79)</f>
        <v>…</v>
      </c>
      <c r="D79" s="85"/>
      <c r="E79" s="69"/>
      <c r="F79" s="126" t="s">
        <v>34</v>
      </c>
      <c r="G79" s="15"/>
      <c r="H79" s="126" t="s">
        <v>34</v>
      </c>
    </row>
    <row r="80" spans="1:10" ht="12.95" customHeight="1">
      <c r="A80" s="136"/>
      <c r="B80" s="34"/>
      <c r="C80" s="125"/>
      <c r="D80" s="85"/>
      <c r="E80" s="69"/>
      <c r="F80" s="126"/>
      <c r="G80" s="15"/>
      <c r="H80" s="126"/>
      <c r="J80" s="64"/>
    </row>
    <row r="81" spans="1:12" ht="12.95" customHeight="1">
      <c r="A81" s="11" t="s">
        <v>83</v>
      </c>
      <c r="B81" s="34"/>
      <c r="C81" s="125"/>
      <c r="D81" s="81" t="s">
        <v>34</v>
      </c>
      <c r="E81" s="43" t="s">
        <v>34</v>
      </c>
      <c r="F81" s="126"/>
      <c r="G81" s="43" t="s">
        <v>34</v>
      </c>
      <c r="H81" s="126"/>
    </row>
    <row r="82" spans="1:12" s="55" customFormat="1" ht="18" customHeight="1">
      <c r="A82" s="86" t="s">
        <v>84</v>
      </c>
      <c r="B82" s="25">
        <f>SUM(B84:B94)</f>
        <v>11878.383200000002</v>
      </c>
      <c r="C82" s="21">
        <f>SUM(C83:C95)</f>
        <v>14149.499036000001</v>
      </c>
      <c r="D82" s="21">
        <f t="shared" ref="D82:H82" si="7">SUM(D83:D95)</f>
        <v>14022.460000000001</v>
      </c>
      <c r="E82" s="21">
        <f t="shared" si="7"/>
        <v>1199910.530732</v>
      </c>
      <c r="F82" s="21">
        <f t="shared" si="7"/>
        <v>11999.105307320002</v>
      </c>
      <c r="G82" s="46">
        <f t="shared" si="7"/>
        <v>215039.37</v>
      </c>
      <c r="H82" s="25">
        <f t="shared" si="7"/>
        <v>2150.3936999999996</v>
      </c>
      <c r="I82" s="59"/>
      <c r="J82" s="87">
        <f>0.01</f>
        <v>0.01</v>
      </c>
    </row>
    <row r="83" spans="1:12">
      <c r="A83" s="11" t="s">
        <v>85</v>
      </c>
      <c r="B83" s="17">
        <f>4925/100</f>
        <v>49.25</v>
      </c>
      <c r="C83" s="16">
        <v>49.205500000000001</v>
      </c>
      <c r="D83" s="82">
        <f>4921/100</f>
        <v>49.21</v>
      </c>
      <c r="E83" s="63">
        <v>4920.55</v>
      </c>
      <c r="F83" s="39">
        <f t="shared" ref="F83:F95" si="8">+E83*$J$82</f>
        <v>49.205500000000001</v>
      </c>
      <c r="G83" s="15"/>
      <c r="H83" s="39" t="s">
        <v>14</v>
      </c>
      <c r="I83" s="26"/>
      <c r="J83" s="88"/>
      <c r="K83" s="89"/>
      <c r="L83" s="18"/>
    </row>
    <row r="84" spans="1:12" ht="14.25">
      <c r="A84" s="11" t="s">
        <v>86</v>
      </c>
      <c r="B84" s="17">
        <f>4590/100</f>
        <v>45.9</v>
      </c>
      <c r="C84" s="16">
        <v>47.814135999999998</v>
      </c>
      <c r="D84" s="82">
        <f>4663/100</f>
        <v>46.63</v>
      </c>
      <c r="E84" s="63">
        <v>4781.4135999999999</v>
      </c>
      <c r="F84" s="39">
        <f t="shared" si="8"/>
        <v>47.814135999999998</v>
      </c>
      <c r="G84" s="15"/>
      <c r="H84" s="39" t="s">
        <v>14</v>
      </c>
      <c r="I84" s="26"/>
      <c r="J84" s="90"/>
      <c r="K84" s="91"/>
      <c r="L84" s="18"/>
    </row>
    <row r="85" spans="1:12">
      <c r="A85" s="11" t="s">
        <v>87</v>
      </c>
      <c r="B85" s="17">
        <f>32557/100</f>
        <v>325.57</v>
      </c>
      <c r="C85" s="16">
        <v>333.4239</v>
      </c>
      <c r="D85" s="92">
        <f>33342/100</f>
        <v>333.42</v>
      </c>
      <c r="E85" s="15">
        <v>29699.297132</v>
      </c>
      <c r="F85" s="39">
        <f t="shared" si="8"/>
        <v>296.99297131999998</v>
      </c>
      <c r="G85" s="15">
        <v>3643.09</v>
      </c>
      <c r="H85" s="39">
        <f>G85*J82</f>
        <v>36.430900000000001</v>
      </c>
      <c r="I85" s="26"/>
      <c r="J85" s="88"/>
      <c r="K85" s="89"/>
      <c r="L85" s="18"/>
    </row>
    <row r="86" spans="1:12" ht="15">
      <c r="A86" s="11" t="s">
        <v>88</v>
      </c>
      <c r="B86" s="17">
        <f>270125/100</f>
        <v>2701.25</v>
      </c>
      <c r="C86" s="16">
        <v>2701.25</v>
      </c>
      <c r="D86" s="82">
        <f>270125/100</f>
        <v>2701.25</v>
      </c>
      <c r="E86" s="63">
        <v>68100.509999999995</v>
      </c>
      <c r="F86" s="39">
        <f t="shared" si="8"/>
        <v>681.00509999999997</v>
      </c>
      <c r="G86" s="15">
        <v>202024.49</v>
      </c>
      <c r="H86" s="39">
        <f>G86*J82</f>
        <v>2020.2448999999999</v>
      </c>
      <c r="I86" s="26"/>
      <c r="J86" s="88"/>
      <c r="K86" s="93"/>
    </row>
    <row r="87" spans="1:12" ht="14.25">
      <c r="A87" s="11" t="s">
        <v>89</v>
      </c>
      <c r="B87" s="17">
        <f xml:space="preserve"> (129585)/100</f>
        <v>1295.8499999999999</v>
      </c>
      <c r="C87" s="16">
        <v>1312.6077</v>
      </c>
      <c r="D87" s="82">
        <f>131261/100</f>
        <v>1312.61</v>
      </c>
      <c r="E87" s="63">
        <v>131260.76999999999</v>
      </c>
      <c r="F87" s="39">
        <f t="shared" si="8"/>
        <v>1312.6077</v>
      </c>
      <c r="G87" s="15"/>
      <c r="H87" s="39" t="s">
        <v>14</v>
      </c>
      <c r="I87" s="26"/>
      <c r="J87" s="90"/>
      <c r="K87" s="91"/>
    </row>
    <row r="88" spans="1:12">
      <c r="A88" s="11" t="s">
        <v>90</v>
      </c>
      <c r="B88" s="17">
        <f>579000/100</f>
        <v>5790</v>
      </c>
      <c r="C88" s="16">
        <v>5790</v>
      </c>
      <c r="D88" s="82">
        <f>569430/100</f>
        <v>5694.3</v>
      </c>
      <c r="E88" s="63">
        <v>579000</v>
      </c>
      <c r="F88" s="39">
        <f t="shared" si="8"/>
        <v>5790</v>
      </c>
      <c r="G88" s="15"/>
      <c r="H88" s="39" t="s">
        <v>91</v>
      </c>
      <c r="I88" s="26"/>
      <c r="J88" s="94"/>
      <c r="K88" s="95"/>
    </row>
    <row r="89" spans="1:12">
      <c r="A89" s="11" t="s">
        <v>92</v>
      </c>
      <c r="B89" s="17">
        <f>25275/100</f>
        <v>252.75</v>
      </c>
      <c r="C89" s="16">
        <v>252.75</v>
      </c>
      <c r="D89" s="92">
        <f>25275/100</f>
        <v>252.75</v>
      </c>
      <c r="E89" s="15">
        <v>25275</v>
      </c>
      <c r="F89" s="39">
        <f t="shared" si="8"/>
        <v>252.75</v>
      </c>
      <c r="G89" s="15"/>
      <c r="H89" s="39" t="s">
        <v>14</v>
      </c>
      <c r="I89" s="26"/>
      <c r="J89" s="64"/>
    </row>
    <row r="90" spans="1:12">
      <c r="A90" s="11" t="s">
        <v>93</v>
      </c>
      <c r="B90" s="17">
        <f>35929/100</f>
        <v>359.29</v>
      </c>
      <c r="C90" s="16">
        <v>359.29</v>
      </c>
      <c r="D90" s="92">
        <f>35839/100</f>
        <v>358.39</v>
      </c>
      <c r="E90" s="15">
        <v>27891.69</v>
      </c>
      <c r="F90" s="39">
        <f t="shared" si="8"/>
        <v>278.9169</v>
      </c>
      <c r="G90" s="15">
        <v>8037.31</v>
      </c>
      <c r="H90" s="39">
        <f>G90*J82</f>
        <v>80.373100000000008</v>
      </c>
      <c r="I90" s="26"/>
      <c r="J90" s="64"/>
    </row>
    <row r="91" spans="1:12">
      <c r="A91" s="11" t="s">
        <v>94</v>
      </c>
      <c r="B91" s="17">
        <f>72636/100</f>
        <v>726.36</v>
      </c>
      <c r="C91" s="16">
        <f>F91</f>
        <v>726.36</v>
      </c>
      <c r="D91" s="96">
        <f>72270/100</f>
        <v>722.7</v>
      </c>
      <c r="E91" s="63">
        <v>72636</v>
      </c>
      <c r="F91" s="39">
        <f t="shared" si="8"/>
        <v>726.36</v>
      </c>
      <c r="G91" s="15"/>
      <c r="H91" s="39" t="s">
        <v>14</v>
      </c>
      <c r="I91" s="26"/>
      <c r="J91" s="64"/>
    </row>
    <row r="92" spans="1:12">
      <c r="A92" s="11" t="s">
        <v>95</v>
      </c>
      <c r="B92" s="17">
        <v>46</v>
      </c>
      <c r="C92" s="16">
        <v>46.695699999999995</v>
      </c>
      <c r="D92" s="96">
        <f>4670/100</f>
        <v>46.7</v>
      </c>
      <c r="E92" s="63">
        <v>3335.09</v>
      </c>
      <c r="F92" s="39">
        <f t="shared" si="8"/>
        <v>33.350900000000003</v>
      </c>
      <c r="G92" s="15">
        <v>1334.48</v>
      </c>
      <c r="H92" s="39">
        <f>G92*J82</f>
        <v>13.344800000000001</v>
      </c>
      <c r="I92" s="26"/>
      <c r="J92" s="64"/>
    </row>
    <row r="93" spans="1:12">
      <c r="A93" s="11" t="s">
        <v>96</v>
      </c>
      <c r="B93" s="17">
        <f>19541.32/100</f>
        <v>195.41319999999999</v>
      </c>
      <c r="C93" s="16">
        <v>221.04</v>
      </c>
      <c r="D93" s="96">
        <f>19544/100</f>
        <v>195.44</v>
      </c>
      <c r="E93" s="63">
        <v>22104</v>
      </c>
      <c r="F93" s="39">
        <f t="shared" si="8"/>
        <v>221.04</v>
      </c>
      <c r="G93" s="15"/>
      <c r="H93" s="39" t="s">
        <v>14</v>
      </c>
      <c r="I93" s="26"/>
      <c r="J93" s="64"/>
    </row>
    <row r="94" spans="1:12">
      <c r="A94" s="11" t="s">
        <v>97</v>
      </c>
      <c r="B94" s="17">
        <f>14000/100</f>
        <v>140</v>
      </c>
      <c r="C94" s="16">
        <v>156.8048</v>
      </c>
      <c r="D94" s="96">
        <f>15680/100</f>
        <v>156.80000000000001</v>
      </c>
      <c r="E94" s="63">
        <v>15680.48</v>
      </c>
      <c r="F94" s="39">
        <f t="shared" si="8"/>
        <v>156.8048</v>
      </c>
      <c r="G94" s="15"/>
      <c r="H94" s="39" t="s">
        <v>14</v>
      </c>
    </row>
    <row r="95" spans="1:12">
      <c r="A95" s="34" t="s">
        <v>98</v>
      </c>
      <c r="B95" s="17">
        <f>207000/100</f>
        <v>2070</v>
      </c>
      <c r="C95" s="16">
        <v>2152.2573000000002</v>
      </c>
      <c r="D95" s="62">
        <f>215226/100</f>
        <v>2152.2600000000002</v>
      </c>
      <c r="E95" s="63">
        <v>215225.73</v>
      </c>
      <c r="F95" s="39">
        <f t="shared" si="8"/>
        <v>2152.2573000000002</v>
      </c>
      <c r="G95" s="43" t="s">
        <v>14</v>
      </c>
      <c r="H95" s="39" t="s">
        <v>14</v>
      </c>
    </row>
    <row r="96" spans="1:12" s="61" customFormat="1" ht="18" customHeight="1">
      <c r="A96" s="86" t="s">
        <v>99</v>
      </c>
      <c r="B96" s="45">
        <f t="shared" ref="B96:H96" si="9">SUM(B97:B98)</f>
        <v>279.65999999999997</v>
      </c>
      <c r="C96" s="21">
        <f>SUM(C97:C98)</f>
        <v>278.09620000000001</v>
      </c>
      <c r="D96" s="21" t="e">
        <f t="shared" si="9"/>
        <v>#REF!</v>
      </c>
      <c r="E96" s="21">
        <f t="shared" si="9"/>
        <v>3314.9</v>
      </c>
      <c r="F96" s="21">
        <f t="shared" si="9"/>
        <v>33.149000000000001</v>
      </c>
      <c r="G96" s="46">
        <f t="shared" si="9"/>
        <v>24494.720000000001</v>
      </c>
      <c r="H96" s="25">
        <f t="shared" si="9"/>
        <v>244.94720000000001</v>
      </c>
      <c r="I96" s="59"/>
    </row>
    <row r="97" spans="1:9">
      <c r="A97" s="11" t="s">
        <v>100</v>
      </c>
      <c r="B97" s="17">
        <f>13226/100</f>
        <v>132.26</v>
      </c>
      <c r="C97" s="16">
        <v>130.6962</v>
      </c>
      <c r="D97" s="62" t="e">
        <f>B97/#REF!</f>
        <v>#REF!</v>
      </c>
      <c r="E97" s="63">
        <v>1840.9</v>
      </c>
      <c r="F97" s="39">
        <f>+E97*$J$82</f>
        <v>18.409000000000002</v>
      </c>
      <c r="G97" s="43">
        <v>11228.72</v>
      </c>
      <c r="H97" s="17">
        <f>G97*J82</f>
        <v>112.2872</v>
      </c>
    </row>
    <row r="98" spans="1:9">
      <c r="A98" s="11" t="s">
        <v>101</v>
      </c>
      <c r="B98" s="17">
        <f>14740/100</f>
        <v>147.4</v>
      </c>
      <c r="C98" s="16">
        <v>147.4</v>
      </c>
      <c r="D98" s="62" t="e">
        <f>B98/#REF!</f>
        <v>#REF!</v>
      </c>
      <c r="E98" s="63">
        <v>1474</v>
      </c>
      <c r="F98" s="39">
        <f>+E98*$J$82</f>
        <v>14.74</v>
      </c>
      <c r="G98" s="43">
        <v>13266</v>
      </c>
      <c r="H98" s="39">
        <f>G98*J82</f>
        <v>132.66</v>
      </c>
    </row>
    <row r="99" spans="1:9" s="55" customFormat="1" ht="18" customHeight="1">
      <c r="A99" s="76" t="s">
        <v>102</v>
      </c>
      <c r="B99" s="45">
        <v>2.7</v>
      </c>
      <c r="C99" s="21">
        <f>F99</f>
        <v>2.3210000000000002</v>
      </c>
      <c r="D99" s="97">
        <f>+D100</f>
        <v>2.5099999999999998</v>
      </c>
      <c r="E99" s="23">
        <f>SUM(E100:E100)</f>
        <v>232.1</v>
      </c>
      <c r="F99" s="24">
        <f>+E99*$J$82</f>
        <v>2.3210000000000002</v>
      </c>
      <c r="G99" s="36" t="s">
        <v>14</v>
      </c>
      <c r="H99" s="24" t="s">
        <v>14</v>
      </c>
      <c r="I99" s="59"/>
    </row>
    <row r="100" spans="1:9">
      <c r="A100" s="11" t="s">
        <v>103</v>
      </c>
      <c r="B100" s="17">
        <f>265/100</f>
        <v>2.65</v>
      </c>
      <c r="C100" s="16">
        <v>2.3210000000000002</v>
      </c>
      <c r="D100" s="62">
        <f>251/100</f>
        <v>2.5099999999999998</v>
      </c>
      <c r="E100" s="63">
        <v>232.1</v>
      </c>
      <c r="F100" s="39">
        <f>+E100*$J$82</f>
        <v>2.3210000000000002</v>
      </c>
      <c r="G100" s="43" t="s">
        <v>14</v>
      </c>
      <c r="H100" s="39" t="s">
        <v>14</v>
      </c>
    </row>
    <row r="101" spans="1:9" s="55" customFormat="1" ht="18" customHeight="1">
      <c r="A101" s="37" t="s">
        <v>104</v>
      </c>
      <c r="B101" s="98"/>
      <c r="C101" s="42" t="str">
        <f>+(F101)</f>
        <v>…</v>
      </c>
      <c r="D101" s="24" t="s">
        <v>34</v>
      </c>
      <c r="E101" s="99" t="s">
        <v>34</v>
      </c>
      <c r="F101" s="42" t="s">
        <v>34</v>
      </c>
      <c r="G101" s="99">
        <f>SUM(G102:G102)</f>
        <v>0</v>
      </c>
      <c r="H101" s="24" t="s">
        <v>34</v>
      </c>
      <c r="I101" s="73"/>
    </row>
    <row r="102" spans="1:9">
      <c r="A102" s="14" t="s">
        <v>105</v>
      </c>
      <c r="B102" s="63"/>
      <c r="C102" s="47" t="str">
        <f>+(F102)</f>
        <v>…</v>
      </c>
      <c r="D102" s="39" t="s">
        <v>34</v>
      </c>
      <c r="E102" s="72" t="s">
        <v>34</v>
      </c>
      <c r="F102" s="47" t="s">
        <v>34</v>
      </c>
      <c r="G102" s="72" t="s">
        <v>34</v>
      </c>
      <c r="H102" s="39" t="s">
        <v>34</v>
      </c>
    </row>
    <row r="103" spans="1:9" s="55" customFormat="1" ht="18" customHeight="1">
      <c r="A103" s="40" t="s">
        <v>106</v>
      </c>
      <c r="B103" s="25">
        <f>SUM(B106:B113)</f>
        <v>362.053</v>
      </c>
      <c r="C103" s="21">
        <f>SUM(C104:C114)</f>
        <v>1638.7563</v>
      </c>
      <c r="D103" s="21" t="e">
        <f>SUM(D104:D113)</f>
        <v>#REF!</v>
      </c>
      <c r="E103" s="21">
        <f>SUM(E104:E114)</f>
        <v>49471.92</v>
      </c>
      <c r="F103" s="21">
        <f>SUM(F104:F114)</f>
        <v>751.15419999999995</v>
      </c>
      <c r="G103" s="46">
        <f>SUM(G104:G114)</f>
        <v>88760.209999999992</v>
      </c>
      <c r="H103" s="25">
        <f>SUM(H104:H114)</f>
        <v>887.60209999999995</v>
      </c>
      <c r="I103" s="59"/>
    </row>
    <row r="104" spans="1:9">
      <c r="A104" s="11" t="s">
        <v>107</v>
      </c>
      <c r="B104" s="17">
        <v>489.19</v>
      </c>
      <c r="C104" s="16">
        <v>856.64559999999994</v>
      </c>
      <c r="D104" s="21"/>
      <c r="E104" s="38">
        <v>39703.61</v>
      </c>
      <c r="F104" s="16">
        <f t="shared" ref="F104:F113" si="10">+E104*$J$82</f>
        <v>397.03610000000003</v>
      </c>
      <c r="G104" s="43">
        <v>45960.95</v>
      </c>
      <c r="H104" s="17">
        <f t="shared" ref="H104:H113" si="11">G104*$J$82</f>
        <v>459.60949999999997</v>
      </c>
      <c r="I104" s="26"/>
    </row>
    <row r="105" spans="1:9">
      <c r="A105" s="34" t="s">
        <v>108</v>
      </c>
      <c r="B105" s="17">
        <f>1000/100</f>
        <v>10</v>
      </c>
      <c r="C105" s="47">
        <v>8.9298000000000002</v>
      </c>
      <c r="D105" s="15" t="e">
        <f>B105/#REF!</f>
        <v>#REF!</v>
      </c>
      <c r="E105" s="15" t="s">
        <v>20</v>
      </c>
      <c r="F105" s="39">
        <f>C105</f>
        <v>8.9298000000000002</v>
      </c>
      <c r="G105" s="43" t="s">
        <v>20</v>
      </c>
      <c r="H105" s="39" t="s">
        <v>20</v>
      </c>
      <c r="I105" s="26"/>
    </row>
    <row r="106" spans="1:9">
      <c r="A106" s="34" t="s">
        <v>109</v>
      </c>
      <c r="B106" s="17">
        <f>25433/100</f>
        <v>254.33</v>
      </c>
      <c r="C106" s="16">
        <v>242.84439999999998</v>
      </c>
      <c r="D106" s="15" t="e">
        <f>B106/#REF!</f>
        <v>#REF!</v>
      </c>
      <c r="E106" s="15">
        <v>4608.2299999999996</v>
      </c>
      <c r="F106" s="16">
        <f t="shared" si="10"/>
        <v>46.082299999999996</v>
      </c>
      <c r="G106" s="43">
        <v>19676.21</v>
      </c>
      <c r="H106" s="17">
        <f t="shared" si="11"/>
        <v>196.7621</v>
      </c>
      <c r="I106" s="26"/>
    </row>
    <row r="107" spans="1:9">
      <c r="A107" s="11" t="s">
        <v>110</v>
      </c>
      <c r="B107" s="17">
        <f>258/100</f>
        <v>2.58</v>
      </c>
      <c r="C107" s="16">
        <v>3.6282000000000001</v>
      </c>
      <c r="D107" s="15" t="e">
        <f>B107/#REF!</f>
        <v>#REF!</v>
      </c>
      <c r="E107" s="15">
        <v>315.17</v>
      </c>
      <c r="F107" s="16">
        <f>+E107*$J$82</f>
        <v>3.1517000000000004</v>
      </c>
      <c r="G107" s="43">
        <v>47.65</v>
      </c>
      <c r="H107" s="17">
        <f>G107*$J$82</f>
        <v>0.47649999999999998</v>
      </c>
      <c r="I107" s="26"/>
    </row>
    <row r="108" spans="1:9">
      <c r="A108" s="34" t="s">
        <v>111</v>
      </c>
      <c r="B108" s="17">
        <f>58/100</f>
        <v>0.57999999999999996</v>
      </c>
      <c r="C108" s="16">
        <v>1.0918000000000001</v>
      </c>
      <c r="D108" s="15" t="e">
        <f>B108/#REF!</f>
        <v>#REF!</v>
      </c>
      <c r="E108" s="15">
        <v>53.99</v>
      </c>
      <c r="F108" s="16">
        <f t="shared" si="10"/>
        <v>0.53990000000000005</v>
      </c>
      <c r="G108" s="43">
        <v>55.19</v>
      </c>
      <c r="H108" s="17">
        <f t="shared" si="11"/>
        <v>0.55189999999999995</v>
      </c>
      <c r="I108" s="26"/>
    </row>
    <row r="109" spans="1:9">
      <c r="A109" s="34" t="s">
        <v>112</v>
      </c>
      <c r="B109" s="17"/>
      <c r="C109" s="16">
        <v>1.3637000000000001</v>
      </c>
      <c r="D109" s="15"/>
      <c r="E109" s="15">
        <v>136</v>
      </c>
      <c r="F109" s="16">
        <f>+E109*$J$82</f>
        <v>1.36</v>
      </c>
      <c r="G109" s="43">
        <v>0.37</v>
      </c>
      <c r="H109" s="17">
        <f>G109*$J$82</f>
        <v>3.7000000000000002E-3</v>
      </c>
      <c r="I109" s="26"/>
    </row>
    <row r="110" spans="1:9">
      <c r="A110" s="34" t="s">
        <v>113</v>
      </c>
      <c r="B110" s="17"/>
      <c r="C110" s="16">
        <v>150.24870000000001</v>
      </c>
      <c r="D110" s="15"/>
      <c r="E110" s="15">
        <v>1110.3599999999999</v>
      </c>
      <c r="F110" s="16">
        <f t="shared" si="10"/>
        <v>11.103599999999998</v>
      </c>
      <c r="G110" s="43">
        <v>13914.51</v>
      </c>
      <c r="H110" s="17">
        <f t="shared" si="11"/>
        <v>139.14510000000001</v>
      </c>
      <c r="I110" s="26"/>
    </row>
    <row r="111" spans="1:9">
      <c r="A111" s="34" t="s">
        <v>114</v>
      </c>
      <c r="B111" s="17"/>
      <c r="C111" s="16">
        <v>23.668000000000003</v>
      </c>
      <c r="D111" s="15"/>
      <c r="E111" s="15">
        <v>424.3</v>
      </c>
      <c r="F111" s="16">
        <f t="shared" si="10"/>
        <v>4.2430000000000003</v>
      </c>
      <c r="G111" s="43">
        <v>1942.5</v>
      </c>
      <c r="H111" s="17">
        <f t="shared" si="11"/>
        <v>19.425000000000001</v>
      </c>
      <c r="I111" s="26"/>
    </row>
    <row r="112" spans="1:9">
      <c r="A112" s="34" t="s">
        <v>115</v>
      </c>
      <c r="B112" s="17">
        <f>3740/100</f>
        <v>37.4</v>
      </c>
      <c r="C112" s="16">
        <f>+(F112+H112)</f>
        <v>35.7943</v>
      </c>
      <c r="D112" s="100" t="s">
        <v>20</v>
      </c>
      <c r="E112" s="48">
        <v>141.47999999999999</v>
      </c>
      <c r="F112" s="16">
        <f t="shared" si="10"/>
        <v>1.4147999999999998</v>
      </c>
      <c r="G112" s="43">
        <v>3437.95</v>
      </c>
      <c r="H112" s="17">
        <f t="shared" si="11"/>
        <v>34.3795</v>
      </c>
      <c r="I112" s="26"/>
    </row>
    <row r="113" spans="1:9">
      <c r="A113" s="34" t="s">
        <v>116</v>
      </c>
      <c r="B113" s="17">
        <f>6716.3/100</f>
        <v>67.162999999999997</v>
      </c>
      <c r="C113" s="16">
        <f>+(F113+H113)</f>
        <v>67.036600000000007</v>
      </c>
      <c r="D113" s="15" t="e">
        <f>B113/#REF!</f>
        <v>#REF!</v>
      </c>
      <c r="E113" s="15">
        <v>2978.78</v>
      </c>
      <c r="F113" s="16">
        <f t="shared" si="10"/>
        <v>29.787800000000004</v>
      </c>
      <c r="G113" s="43">
        <v>3724.88</v>
      </c>
      <c r="H113" s="17">
        <f t="shared" si="11"/>
        <v>37.248800000000003</v>
      </c>
      <c r="I113" s="26"/>
    </row>
    <row r="114" spans="1:9">
      <c r="A114" s="34" t="s">
        <v>117</v>
      </c>
      <c r="C114" s="67">
        <v>247.5052</v>
      </c>
      <c r="E114" s="101" t="s">
        <v>20</v>
      </c>
      <c r="F114" s="39">
        <f>C114</f>
        <v>247.5052</v>
      </c>
      <c r="G114" s="102" t="s">
        <v>20</v>
      </c>
      <c r="H114" s="39" t="s">
        <v>20</v>
      </c>
    </row>
    <row r="115" spans="1:9" s="55" customFormat="1" ht="18" customHeight="1">
      <c r="A115" s="76" t="s">
        <v>118</v>
      </c>
      <c r="B115" s="25"/>
      <c r="C115" s="24" t="str">
        <f>+(F115)</f>
        <v>…</v>
      </c>
      <c r="D115" s="24" t="s">
        <v>34</v>
      </c>
      <c r="E115" s="99" t="s">
        <v>34</v>
      </c>
      <c r="F115" s="24" t="s">
        <v>34</v>
      </c>
      <c r="G115" s="36"/>
      <c r="H115" s="24" t="s">
        <v>34</v>
      </c>
      <c r="I115" s="73"/>
    </row>
    <row r="116" spans="1:9">
      <c r="A116" s="11" t="s">
        <v>119</v>
      </c>
      <c r="B116" s="17"/>
      <c r="C116" s="39" t="str">
        <f>+(F116)</f>
        <v>…</v>
      </c>
      <c r="D116" s="39" t="s">
        <v>34</v>
      </c>
      <c r="E116" s="72" t="s">
        <v>34</v>
      </c>
      <c r="F116" s="39" t="s">
        <v>34</v>
      </c>
      <c r="G116" s="43"/>
      <c r="H116" s="39" t="s">
        <v>34</v>
      </c>
    </row>
    <row r="117" spans="1:9" s="55" customFormat="1" ht="18" customHeight="1">
      <c r="A117" s="76" t="s">
        <v>120</v>
      </c>
      <c r="B117" s="25"/>
      <c r="C117" s="21">
        <f>+(F117)</f>
        <v>2.5</v>
      </c>
      <c r="D117" s="24" t="str">
        <f>D118</f>
        <v>…</v>
      </c>
      <c r="E117" s="99">
        <f>SUM(E118:E118)</f>
        <v>250</v>
      </c>
      <c r="F117" s="21">
        <f>+E117*$J$82</f>
        <v>2.5</v>
      </c>
      <c r="G117" s="99" t="s">
        <v>14</v>
      </c>
      <c r="H117" s="24" t="str">
        <f>H118</f>
        <v>-</v>
      </c>
      <c r="I117" s="59"/>
    </row>
    <row r="118" spans="1:9">
      <c r="A118" s="11" t="s">
        <v>121</v>
      </c>
      <c r="B118" s="17"/>
      <c r="C118" s="16">
        <v>2.5</v>
      </c>
      <c r="D118" s="39" t="s">
        <v>34</v>
      </c>
      <c r="E118" s="72">
        <v>250</v>
      </c>
      <c r="F118" s="16">
        <f>+E118*$J$82</f>
        <v>2.5</v>
      </c>
      <c r="G118" s="43" t="s">
        <v>14</v>
      </c>
      <c r="H118" s="39" t="s">
        <v>14</v>
      </c>
    </row>
    <row r="119" spans="1:9" s="55" customFormat="1" ht="18" customHeight="1">
      <c r="A119" s="76" t="s">
        <v>122</v>
      </c>
      <c r="B119" s="25">
        <f>SUM(B122:B129)</f>
        <v>3147.63</v>
      </c>
      <c r="C119" s="25">
        <f>SUM(C120:C132)</f>
        <v>1271.5728999999999</v>
      </c>
      <c r="D119" s="25">
        <f t="shared" ref="D119:H119" si="12">SUM(D120:D132)</f>
        <v>1029.5799999999997</v>
      </c>
      <c r="E119" s="25">
        <f t="shared" si="12"/>
        <v>124250.92</v>
      </c>
      <c r="F119" s="25">
        <f t="shared" si="12"/>
        <v>1242.5092</v>
      </c>
      <c r="G119" s="23">
        <f t="shared" si="12"/>
        <v>2906.37</v>
      </c>
      <c r="H119" s="25">
        <f t="shared" si="12"/>
        <v>29.063700000000001</v>
      </c>
      <c r="I119" s="59"/>
    </row>
    <row r="120" spans="1:9" ht="12.95" customHeight="1">
      <c r="A120" s="11" t="s">
        <v>123</v>
      </c>
      <c r="B120" s="17"/>
      <c r="C120" s="39">
        <v>1.35</v>
      </c>
      <c r="D120" s="41">
        <f>135/100</f>
        <v>1.35</v>
      </c>
      <c r="E120" s="15">
        <v>135</v>
      </c>
      <c r="F120" s="17">
        <f>+E120*$J$82</f>
        <v>1.35</v>
      </c>
      <c r="G120" s="15"/>
      <c r="H120" s="39" t="s">
        <v>14</v>
      </c>
    </row>
    <row r="121" spans="1:9" ht="12.95" customHeight="1">
      <c r="A121" s="14" t="s">
        <v>124</v>
      </c>
      <c r="B121" s="17"/>
      <c r="C121" s="39" t="str">
        <f>+(F121)</f>
        <v>…</v>
      </c>
      <c r="D121" s="39" t="s">
        <v>34</v>
      </c>
      <c r="E121" s="72" t="s">
        <v>34</v>
      </c>
      <c r="F121" s="39" t="s">
        <v>34</v>
      </c>
      <c r="G121" s="43"/>
      <c r="H121" s="39" t="s">
        <v>34</v>
      </c>
    </row>
    <row r="122" spans="1:9" ht="12.95" customHeight="1">
      <c r="A122" s="11" t="s">
        <v>125</v>
      </c>
      <c r="B122" s="17"/>
      <c r="C122" s="39">
        <v>1</v>
      </c>
      <c r="D122" s="17">
        <f>100/100</f>
        <v>1</v>
      </c>
      <c r="E122" s="63">
        <v>100</v>
      </c>
      <c r="F122" s="17">
        <f t="shared" ref="F122:F132" si="13">+E122*$J$82</f>
        <v>1</v>
      </c>
      <c r="G122" s="15"/>
      <c r="H122" s="39" t="s">
        <v>14</v>
      </c>
    </row>
    <row r="123" spans="1:9" ht="12.95" customHeight="1">
      <c r="A123" s="11" t="s">
        <v>126</v>
      </c>
      <c r="B123" s="17"/>
      <c r="C123" s="39">
        <v>30.01</v>
      </c>
      <c r="D123" s="17">
        <f>3001/100</f>
        <v>30.01</v>
      </c>
      <c r="E123" s="63">
        <v>3001</v>
      </c>
      <c r="F123" s="17">
        <f t="shared" si="13"/>
        <v>30.01</v>
      </c>
      <c r="G123" s="15"/>
      <c r="H123" s="39" t="s">
        <v>14</v>
      </c>
    </row>
    <row r="124" spans="1:9" ht="12.95" customHeight="1">
      <c r="A124" s="11" t="s">
        <v>127</v>
      </c>
      <c r="B124" s="17">
        <f>257219/100</f>
        <v>2572.19</v>
      </c>
      <c r="C124" s="39">
        <v>605.77570000000003</v>
      </c>
      <c r="D124" s="17">
        <f>36379/100</f>
        <v>363.79</v>
      </c>
      <c r="E124" s="63">
        <v>60577.57</v>
      </c>
      <c r="F124" s="17">
        <f t="shared" si="13"/>
        <v>605.77570000000003</v>
      </c>
      <c r="G124" s="15"/>
      <c r="H124" s="39" t="s">
        <v>14</v>
      </c>
    </row>
    <row r="125" spans="1:9" ht="12.95" customHeight="1">
      <c r="A125" s="11" t="s">
        <v>128</v>
      </c>
      <c r="B125" s="17">
        <f>10375/100</f>
        <v>103.75</v>
      </c>
      <c r="C125" s="39">
        <v>124.1922</v>
      </c>
      <c r="D125" s="17">
        <f>12419/100</f>
        <v>124.19</v>
      </c>
      <c r="E125" s="63">
        <v>12419.22</v>
      </c>
      <c r="F125" s="17">
        <f t="shared" si="13"/>
        <v>124.1922</v>
      </c>
      <c r="G125" s="15"/>
      <c r="H125" s="39" t="s">
        <v>14</v>
      </c>
    </row>
    <row r="126" spans="1:9" ht="12.95" customHeight="1">
      <c r="A126" s="11" t="s">
        <v>129</v>
      </c>
      <c r="B126" s="17"/>
      <c r="C126" s="39">
        <v>0.81</v>
      </c>
      <c r="D126" s="17">
        <f>81/100</f>
        <v>0.81</v>
      </c>
      <c r="E126" s="63">
        <v>81</v>
      </c>
      <c r="F126" s="17">
        <f t="shared" si="13"/>
        <v>0.81</v>
      </c>
      <c r="G126" s="15"/>
      <c r="H126" s="39" t="s">
        <v>14</v>
      </c>
    </row>
    <row r="127" spans="1:9" ht="12.95" customHeight="1">
      <c r="A127" s="11" t="s">
        <v>130</v>
      </c>
      <c r="B127" s="17">
        <f>19500/100</f>
        <v>195</v>
      </c>
      <c r="C127" s="39">
        <v>195</v>
      </c>
      <c r="D127" s="17">
        <f>19500/100</f>
        <v>195</v>
      </c>
      <c r="E127" s="63">
        <v>19500</v>
      </c>
      <c r="F127" s="17">
        <f t="shared" si="13"/>
        <v>195</v>
      </c>
      <c r="G127" s="15"/>
      <c r="H127" s="39" t="s">
        <v>14</v>
      </c>
    </row>
    <row r="128" spans="1:9" ht="12.95" customHeight="1">
      <c r="A128" s="11" t="s">
        <v>131</v>
      </c>
      <c r="B128" s="17">
        <f>20579/100</f>
        <v>205.79</v>
      </c>
      <c r="C128" s="39">
        <v>161.70490000000001</v>
      </c>
      <c r="D128" s="17">
        <f>16170/100</f>
        <v>161.69999999999999</v>
      </c>
      <c r="E128" s="63">
        <v>16170.49</v>
      </c>
      <c r="F128" s="17">
        <f t="shared" si="13"/>
        <v>161.70490000000001</v>
      </c>
      <c r="G128" s="15"/>
      <c r="H128" s="39" t="s">
        <v>14</v>
      </c>
    </row>
    <row r="129" spans="1:9" ht="12.95" customHeight="1">
      <c r="A129" s="11" t="s">
        <v>132</v>
      </c>
      <c r="B129" s="17">
        <f>7090/100</f>
        <v>70.900000000000006</v>
      </c>
      <c r="C129" s="39">
        <v>70.16640000000001</v>
      </c>
      <c r="D129" s="17">
        <f>7017/100</f>
        <v>70.17</v>
      </c>
      <c r="E129" s="63">
        <v>7016.64</v>
      </c>
      <c r="F129" s="17">
        <f t="shared" si="13"/>
        <v>70.16640000000001</v>
      </c>
      <c r="G129" s="15"/>
      <c r="H129" s="39" t="s">
        <v>14</v>
      </c>
    </row>
    <row r="130" spans="1:9" ht="12.95" customHeight="1">
      <c r="A130" s="11" t="s">
        <v>133</v>
      </c>
      <c r="B130" s="17"/>
      <c r="C130" s="39">
        <v>24.16</v>
      </c>
      <c r="D130" s="17">
        <f>2416/100</f>
        <v>24.16</v>
      </c>
      <c r="E130" s="63">
        <v>2416</v>
      </c>
      <c r="F130" s="17">
        <f t="shared" si="13"/>
        <v>24.16</v>
      </c>
      <c r="G130" s="15"/>
      <c r="H130" s="39" t="s">
        <v>14</v>
      </c>
    </row>
    <row r="131" spans="1:9" ht="12.95" customHeight="1">
      <c r="A131" s="11" t="s">
        <v>134</v>
      </c>
      <c r="B131" s="17"/>
      <c r="C131" s="39">
        <v>40.672399999999996</v>
      </c>
      <c r="D131" s="17">
        <f>4067/100</f>
        <v>40.67</v>
      </c>
      <c r="E131" s="63">
        <v>1160.8699999999999</v>
      </c>
      <c r="F131" s="17">
        <f t="shared" si="13"/>
        <v>11.608699999999999</v>
      </c>
      <c r="G131" s="15">
        <v>2906.37</v>
      </c>
      <c r="H131" s="17">
        <f>G131*J82</f>
        <v>29.063700000000001</v>
      </c>
    </row>
    <row r="132" spans="1:9" ht="12.95" customHeight="1">
      <c r="A132" s="11" t="s">
        <v>135</v>
      </c>
      <c r="B132" s="39" t="s">
        <v>20</v>
      </c>
      <c r="C132" s="39">
        <v>16.731300000000001</v>
      </c>
      <c r="D132" s="39">
        <f>1673/100</f>
        <v>16.73</v>
      </c>
      <c r="E132" s="48">
        <v>1673.13</v>
      </c>
      <c r="F132" s="17">
        <f t="shared" si="13"/>
        <v>16.731300000000001</v>
      </c>
      <c r="G132" s="43"/>
      <c r="H132" s="39" t="s">
        <v>14</v>
      </c>
    </row>
    <row r="133" spans="1:9" s="55" customFormat="1" ht="18" customHeight="1">
      <c r="A133" s="76" t="s">
        <v>136</v>
      </c>
      <c r="B133" s="74">
        <f>SUM(B145:B167)</f>
        <v>1230.26</v>
      </c>
      <c r="C133" s="21">
        <f>SUM(C134:C152)</f>
        <v>133.21729999999999</v>
      </c>
      <c r="D133" s="21">
        <f>SUM(D134:D152)</f>
        <v>126.91</v>
      </c>
      <c r="E133" s="21">
        <f>SUM(E134:E152)</f>
        <v>13321.5</v>
      </c>
      <c r="F133" s="21">
        <f>SUM(F134:F152)</f>
        <v>133.215</v>
      </c>
      <c r="G133" s="46">
        <f>SUM(G134:G152)</f>
        <v>0</v>
      </c>
      <c r="H133" s="24" t="s">
        <v>14</v>
      </c>
      <c r="I133" s="59"/>
    </row>
    <row r="134" spans="1:9" ht="12.95" customHeight="1">
      <c r="A134" s="11" t="s">
        <v>137</v>
      </c>
      <c r="B134" s="17"/>
      <c r="C134" s="16">
        <v>3.4537</v>
      </c>
      <c r="D134" s="16">
        <f>345/100</f>
        <v>3.45</v>
      </c>
      <c r="E134" s="38">
        <v>345.14</v>
      </c>
      <c r="F134" s="17">
        <f>+E134*$J$82</f>
        <v>3.4514</v>
      </c>
      <c r="G134" s="15"/>
      <c r="H134" s="39" t="s">
        <v>14</v>
      </c>
    </row>
    <row r="135" spans="1:9" ht="12.95" customHeight="1">
      <c r="A135" s="11" t="s">
        <v>138</v>
      </c>
      <c r="B135" s="74"/>
      <c r="C135" s="16">
        <f>+(F135)</f>
        <v>13.570599999999999</v>
      </c>
      <c r="D135" s="16">
        <f>1100/100</f>
        <v>11</v>
      </c>
      <c r="E135" s="38">
        <v>1357.06</v>
      </c>
      <c r="F135" s="17">
        <f>+E135*$J$82</f>
        <v>13.570599999999999</v>
      </c>
      <c r="G135" s="15"/>
      <c r="H135" s="39" t="s">
        <v>14</v>
      </c>
    </row>
    <row r="136" spans="1:9" ht="12.95" customHeight="1">
      <c r="A136" s="11" t="s">
        <v>139</v>
      </c>
      <c r="B136" s="74"/>
      <c r="C136" s="47" t="s">
        <v>20</v>
      </c>
      <c r="D136" s="16"/>
      <c r="E136" s="38"/>
      <c r="F136" s="47" t="s">
        <v>20</v>
      </c>
      <c r="G136" s="15"/>
      <c r="H136" s="39" t="s">
        <v>20</v>
      </c>
    </row>
    <row r="137" spans="1:9" ht="12.95" customHeight="1">
      <c r="A137" s="11" t="s">
        <v>140</v>
      </c>
      <c r="B137" s="74"/>
      <c r="C137" s="47" t="s">
        <v>20</v>
      </c>
      <c r="D137" s="16"/>
      <c r="E137" s="38"/>
      <c r="F137" s="47" t="s">
        <v>20</v>
      </c>
      <c r="G137" s="15"/>
      <c r="H137" s="39" t="s">
        <v>20</v>
      </c>
    </row>
    <row r="138" spans="1:9" ht="12.95" customHeight="1">
      <c r="A138" s="137" t="s">
        <v>141</v>
      </c>
      <c r="B138" s="74"/>
      <c r="C138" s="125" t="str">
        <f>+(F138)</f>
        <v>…</v>
      </c>
      <c r="D138" s="56"/>
      <c r="E138" s="38"/>
      <c r="F138" s="126" t="s">
        <v>34</v>
      </c>
      <c r="G138" s="43"/>
      <c r="H138" s="126" t="s">
        <v>34</v>
      </c>
    </row>
    <row r="139" spans="1:9" ht="12.95" customHeight="1">
      <c r="A139" s="137"/>
      <c r="B139" s="74"/>
      <c r="C139" s="125"/>
      <c r="D139" s="56"/>
      <c r="E139" s="38"/>
      <c r="F139" s="126"/>
      <c r="G139" s="43"/>
      <c r="H139" s="126"/>
    </row>
    <row r="140" spans="1:9" ht="12.95" customHeight="1">
      <c r="A140" s="137"/>
      <c r="B140" s="74"/>
      <c r="C140" s="125"/>
      <c r="D140" s="56"/>
      <c r="E140" s="38"/>
      <c r="F140" s="126"/>
      <c r="G140" s="43"/>
      <c r="H140" s="126"/>
    </row>
    <row r="141" spans="1:9" ht="12.95" customHeight="1">
      <c r="A141" s="137"/>
      <c r="B141" s="74"/>
      <c r="C141" s="125"/>
      <c r="D141" s="56"/>
      <c r="E141" s="38"/>
      <c r="F141" s="126"/>
      <c r="G141" s="43"/>
      <c r="H141" s="126"/>
    </row>
    <row r="142" spans="1:9" ht="12.95" customHeight="1">
      <c r="A142" s="137"/>
      <c r="B142" s="74"/>
      <c r="C142" s="125"/>
      <c r="D142" s="56"/>
      <c r="E142" s="38"/>
      <c r="F142" s="126"/>
      <c r="G142" s="43"/>
      <c r="H142" s="126"/>
    </row>
    <row r="143" spans="1:9" ht="12.95" customHeight="1">
      <c r="A143" s="11" t="s">
        <v>142</v>
      </c>
      <c r="B143" s="74"/>
      <c r="C143" s="125"/>
      <c r="D143" s="56"/>
      <c r="E143" s="38"/>
      <c r="F143" s="126"/>
      <c r="G143" s="43"/>
      <c r="H143" s="126"/>
    </row>
    <row r="144" spans="1:9" ht="12.95" customHeight="1">
      <c r="A144" s="11" t="s">
        <v>143</v>
      </c>
      <c r="B144" s="74"/>
      <c r="C144" s="16">
        <v>8.9600000000000009</v>
      </c>
      <c r="D144" s="16">
        <f>896/100</f>
        <v>8.9600000000000009</v>
      </c>
      <c r="E144" s="38">
        <v>896</v>
      </c>
      <c r="F144" s="17">
        <f>+E144*$J$82</f>
        <v>8.9600000000000009</v>
      </c>
      <c r="G144" s="15"/>
      <c r="H144" s="39" t="s">
        <v>14</v>
      </c>
    </row>
    <row r="145" spans="1:9" ht="12.95" customHeight="1">
      <c r="A145" s="11" t="s">
        <v>144</v>
      </c>
      <c r="B145" s="41"/>
      <c r="C145" s="16">
        <v>2.88</v>
      </c>
      <c r="D145" s="16"/>
      <c r="E145" s="38">
        <v>288</v>
      </c>
      <c r="F145" s="17">
        <f>+E145*$J$82</f>
        <v>2.88</v>
      </c>
      <c r="G145" s="15"/>
      <c r="H145" s="39" t="s">
        <v>14</v>
      </c>
    </row>
    <row r="146" spans="1:9" ht="12.95" hidden="1" customHeight="1">
      <c r="A146" s="11" t="s">
        <v>145</v>
      </c>
      <c r="B146" s="41"/>
      <c r="C146" s="47" t="s">
        <v>34</v>
      </c>
      <c r="D146" s="16"/>
      <c r="E146" s="38"/>
      <c r="F146" s="47" t="s">
        <v>34</v>
      </c>
      <c r="G146" s="48" t="s">
        <v>34</v>
      </c>
      <c r="H146" s="39" t="s">
        <v>34</v>
      </c>
    </row>
    <row r="147" spans="1:9" ht="12.95" customHeight="1">
      <c r="A147" s="138" t="s">
        <v>146</v>
      </c>
      <c r="B147" s="17"/>
      <c r="C147" s="47"/>
      <c r="D147" s="56"/>
      <c r="E147" s="38"/>
      <c r="F147" s="39"/>
      <c r="G147" s="43"/>
      <c r="H147" s="39"/>
    </row>
    <row r="148" spans="1:9" ht="12.95" customHeight="1">
      <c r="A148" s="138"/>
      <c r="B148" s="17"/>
      <c r="C148" s="47"/>
      <c r="D148" s="56"/>
      <c r="E148" s="38"/>
      <c r="F148" s="39"/>
      <c r="G148" s="43"/>
      <c r="H148" s="39"/>
    </row>
    <row r="149" spans="1:9" ht="12.95" customHeight="1">
      <c r="A149" s="138"/>
      <c r="B149" s="17"/>
      <c r="C149" s="47"/>
      <c r="D149" s="56"/>
      <c r="E149" s="38"/>
      <c r="F149" s="39"/>
      <c r="G149" s="43"/>
      <c r="H149" s="39"/>
    </row>
    <row r="150" spans="1:9" ht="12.95" customHeight="1">
      <c r="A150" s="11" t="s">
        <v>147</v>
      </c>
      <c r="B150" s="41"/>
      <c r="C150" s="47" t="str">
        <f>+(F150)</f>
        <v>…</v>
      </c>
      <c r="D150" s="56"/>
      <c r="E150" s="38"/>
      <c r="F150" s="39" t="s">
        <v>34</v>
      </c>
      <c r="G150" s="43"/>
      <c r="H150" s="39" t="s">
        <v>34</v>
      </c>
    </row>
    <row r="151" spans="1:9" ht="12.95" customHeight="1">
      <c r="A151" s="11" t="s">
        <v>148</v>
      </c>
      <c r="B151" s="41"/>
      <c r="C151" s="16">
        <f t="shared" ref="C151:C157" si="14">+(F151)</f>
        <v>4.3530000000000006</v>
      </c>
      <c r="D151" s="16">
        <f>350/100</f>
        <v>3.5</v>
      </c>
      <c r="E151" s="38">
        <v>435.3</v>
      </c>
      <c r="F151" s="17">
        <f>+E151*$J$82</f>
        <v>4.3530000000000006</v>
      </c>
      <c r="G151" s="15"/>
      <c r="H151" s="39" t="s">
        <v>14</v>
      </c>
    </row>
    <row r="152" spans="1:9" ht="12.95" customHeight="1">
      <c r="A152" s="11" t="s">
        <v>149</v>
      </c>
      <c r="B152" s="41"/>
      <c r="C152" s="16">
        <v>100</v>
      </c>
      <c r="D152" s="16">
        <f>10000/100</f>
        <v>100</v>
      </c>
      <c r="E152" s="38">
        <v>10000</v>
      </c>
      <c r="F152" s="17">
        <f>+E152*$J$82</f>
        <v>100</v>
      </c>
      <c r="G152" s="15"/>
      <c r="H152" s="39" t="s">
        <v>14</v>
      </c>
    </row>
    <row r="153" spans="1:9" s="55" customFormat="1" ht="18" customHeight="1">
      <c r="A153" s="76" t="s">
        <v>150</v>
      </c>
      <c r="B153" s="74"/>
      <c r="C153" s="21">
        <f t="shared" si="14"/>
        <v>51.178500000000007</v>
      </c>
      <c r="D153" s="21">
        <f>+D154</f>
        <v>51</v>
      </c>
      <c r="E153" s="46">
        <f>SUM(E154:E154)</f>
        <v>5117.8500000000004</v>
      </c>
      <c r="F153" s="25">
        <f>+E153*$J$82</f>
        <v>51.178500000000007</v>
      </c>
      <c r="G153" s="58">
        <f>SUM(G154:G154)</f>
        <v>0</v>
      </c>
      <c r="H153" s="24" t="s">
        <v>14</v>
      </c>
      <c r="I153" s="59"/>
    </row>
    <row r="154" spans="1:9" ht="12.95" customHeight="1">
      <c r="A154" s="11" t="s">
        <v>151</v>
      </c>
      <c r="B154" s="74"/>
      <c r="C154" s="16">
        <v>51.178500000000007</v>
      </c>
      <c r="D154" s="16">
        <f>5100/100</f>
        <v>51</v>
      </c>
      <c r="E154" s="38">
        <v>5117.8500000000004</v>
      </c>
      <c r="F154" s="17">
        <f>+E154*$J$82</f>
        <v>51.178500000000007</v>
      </c>
      <c r="G154" s="15"/>
      <c r="H154" s="39" t="s">
        <v>14</v>
      </c>
    </row>
    <row r="155" spans="1:9" s="55" customFormat="1" ht="18" customHeight="1">
      <c r="A155" s="76" t="s">
        <v>152</v>
      </c>
      <c r="B155" s="74"/>
      <c r="C155" s="42" t="str">
        <f t="shared" si="14"/>
        <v>…</v>
      </c>
      <c r="D155" s="42" t="s">
        <v>34</v>
      </c>
      <c r="E155" s="65" t="s">
        <v>34</v>
      </c>
      <c r="F155" s="24" t="s">
        <v>34</v>
      </c>
      <c r="G155" s="36"/>
      <c r="H155" s="24" t="s">
        <v>34</v>
      </c>
      <c r="I155" s="73"/>
    </row>
    <row r="156" spans="1:9" ht="12.95" customHeight="1">
      <c r="A156" s="34" t="s">
        <v>153</v>
      </c>
      <c r="B156" s="41"/>
      <c r="C156" s="47" t="str">
        <f t="shared" si="14"/>
        <v>…</v>
      </c>
      <c r="D156" s="47" t="s">
        <v>34</v>
      </c>
      <c r="E156" s="48" t="s">
        <v>34</v>
      </c>
      <c r="F156" s="39" t="s">
        <v>34</v>
      </c>
      <c r="G156" s="43"/>
      <c r="H156" s="39" t="s">
        <v>34</v>
      </c>
    </row>
    <row r="157" spans="1:9" ht="12.95" customHeight="1">
      <c r="A157" s="14" t="s">
        <v>154</v>
      </c>
      <c r="B157" s="41"/>
      <c r="C157" s="47" t="str">
        <f t="shared" si="14"/>
        <v>…</v>
      </c>
      <c r="D157" s="47" t="s">
        <v>34</v>
      </c>
      <c r="E157" s="48" t="s">
        <v>34</v>
      </c>
      <c r="F157" s="39" t="s">
        <v>34</v>
      </c>
      <c r="G157" s="43"/>
      <c r="H157" s="39" t="s">
        <v>34</v>
      </c>
    </row>
    <row r="158" spans="1:9" s="55" customFormat="1" ht="18" customHeight="1">
      <c r="A158" s="76" t="s">
        <v>155</v>
      </c>
      <c r="B158" s="74">
        <f>SUM(B162:B166)</f>
        <v>491.52</v>
      </c>
      <c r="C158" s="21">
        <f>SUM(C159:C167)</f>
        <v>1123.6322</v>
      </c>
      <c r="D158" s="21">
        <f t="shared" ref="D158:H158" si="15">SUM(D159:D167)</f>
        <v>1017.1300000000001</v>
      </c>
      <c r="E158" s="21">
        <f t="shared" si="15"/>
        <v>112291.61</v>
      </c>
      <c r="F158" s="21">
        <f t="shared" si="15"/>
        <v>1122.9160999999999</v>
      </c>
      <c r="G158" s="46">
        <f t="shared" si="15"/>
        <v>71.209999999999994</v>
      </c>
      <c r="H158" s="25">
        <f t="shared" si="15"/>
        <v>0.71209999999999996</v>
      </c>
      <c r="I158" s="59"/>
    </row>
    <row r="159" spans="1:9" ht="12.95" customHeight="1">
      <c r="A159" s="70" t="s">
        <v>156</v>
      </c>
      <c r="B159" s="41"/>
      <c r="C159" s="125" t="str">
        <f>+(F159)</f>
        <v>…</v>
      </c>
      <c r="D159" s="16"/>
      <c r="E159" s="38"/>
      <c r="F159" s="126" t="s">
        <v>34</v>
      </c>
      <c r="G159" s="15"/>
      <c r="H159" s="126" t="s">
        <v>34</v>
      </c>
    </row>
    <row r="160" spans="1:9" ht="12.95" customHeight="1">
      <c r="A160" s="11" t="s">
        <v>157</v>
      </c>
      <c r="B160" s="41"/>
      <c r="C160" s="125"/>
      <c r="D160" s="47" t="s">
        <v>34</v>
      </c>
      <c r="E160" s="48" t="s">
        <v>34</v>
      </c>
      <c r="F160" s="126"/>
      <c r="G160" s="43"/>
      <c r="H160" s="126"/>
    </row>
    <row r="161" spans="1:9" ht="12.95" hidden="1" customHeight="1">
      <c r="A161" s="11" t="s">
        <v>158</v>
      </c>
      <c r="B161" s="41"/>
      <c r="C161" s="47" t="str">
        <f>+(F161)</f>
        <v>…</v>
      </c>
      <c r="D161" s="47" t="s">
        <v>34</v>
      </c>
      <c r="E161" s="48" t="s">
        <v>34</v>
      </c>
      <c r="F161" s="39" t="s">
        <v>34</v>
      </c>
      <c r="G161" s="43"/>
      <c r="H161" s="39" t="s">
        <v>34</v>
      </c>
    </row>
    <row r="162" spans="1:9" ht="12.95" customHeight="1">
      <c r="A162" s="11" t="s">
        <v>159</v>
      </c>
      <c r="B162" s="41">
        <v>98.22</v>
      </c>
      <c r="C162" s="16">
        <v>98.220200000000006</v>
      </c>
      <c r="D162" s="16">
        <f>9822/100</f>
        <v>98.22</v>
      </c>
      <c r="E162" s="38">
        <v>9750.7999999999993</v>
      </c>
      <c r="F162" s="17">
        <f t="shared" ref="F162:F167" si="16">+E162*$J$82</f>
        <v>97.507999999999996</v>
      </c>
      <c r="G162" s="15">
        <v>71.209999999999994</v>
      </c>
      <c r="H162" s="17">
        <f>G162*J82</f>
        <v>0.71209999999999996</v>
      </c>
    </row>
    <row r="163" spans="1:9" ht="12.95" customHeight="1">
      <c r="A163" s="11" t="s">
        <v>160</v>
      </c>
      <c r="B163" s="41">
        <v>14</v>
      </c>
      <c r="C163" s="16">
        <f>+(F163)</f>
        <v>172.49189999999999</v>
      </c>
      <c r="D163" s="16">
        <f>17249/100</f>
        <v>172.49</v>
      </c>
      <c r="E163" s="38">
        <v>17249.189999999999</v>
      </c>
      <c r="F163" s="17">
        <f t="shared" si="16"/>
        <v>172.49189999999999</v>
      </c>
      <c r="G163" s="15"/>
      <c r="H163" s="39" t="s">
        <v>14</v>
      </c>
    </row>
    <row r="164" spans="1:9" ht="12.95" customHeight="1">
      <c r="A164" s="34" t="s">
        <v>161</v>
      </c>
      <c r="B164" s="17"/>
      <c r="C164" s="16">
        <f>+(F164)</f>
        <v>55.32</v>
      </c>
      <c r="D164" s="16">
        <f>5532/100</f>
        <v>55.32</v>
      </c>
      <c r="E164" s="38">
        <v>5532</v>
      </c>
      <c r="F164" s="17">
        <f t="shared" si="16"/>
        <v>55.32</v>
      </c>
      <c r="G164" s="15"/>
      <c r="H164" s="39" t="s">
        <v>14</v>
      </c>
    </row>
    <row r="165" spans="1:9">
      <c r="A165" s="34" t="s">
        <v>162</v>
      </c>
      <c r="B165" s="17">
        <v>62</v>
      </c>
      <c r="C165" s="16">
        <v>117.70389999999999</v>
      </c>
      <c r="D165" s="16">
        <f>11770/100</f>
        <v>117.7</v>
      </c>
      <c r="E165" s="38">
        <v>11770</v>
      </c>
      <c r="F165" s="17">
        <f t="shared" si="16"/>
        <v>117.7</v>
      </c>
      <c r="G165" s="15"/>
      <c r="H165" s="39" t="s">
        <v>14</v>
      </c>
    </row>
    <row r="166" spans="1:9">
      <c r="A166" s="34" t="s">
        <v>163</v>
      </c>
      <c r="B166" s="17">
        <v>317.3</v>
      </c>
      <c r="C166" s="16">
        <v>299.7518</v>
      </c>
      <c r="D166" s="16">
        <f>32618/100</f>
        <v>326.18</v>
      </c>
      <c r="E166" s="38">
        <v>29975.18</v>
      </c>
      <c r="F166" s="17">
        <f t="shared" si="16"/>
        <v>299.7518</v>
      </c>
      <c r="G166" s="15"/>
      <c r="H166" s="39" t="s">
        <v>14</v>
      </c>
    </row>
    <row r="167" spans="1:9">
      <c r="A167" s="11" t="s">
        <v>164</v>
      </c>
      <c r="B167" s="17">
        <f>24722/100</f>
        <v>247.22</v>
      </c>
      <c r="C167" s="16">
        <v>380.14440000000002</v>
      </c>
      <c r="D167" s="16">
        <f>24722/100</f>
        <v>247.22</v>
      </c>
      <c r="E167" s="38">
        <v>38014.44</v>
      </c>
      <c r="F167" s="17">
        <f t="shared" si="16"/>
        <v>380.14440000000002</v>
      </c>
      <c r="G167" s="15"/>
      <c r="H167" s="39" t="s">
        <v>14</v>
      </c>
    </row>
    <row r="168" spans="1:9" s="55" customFormat="1" ht="18" customHeight="1">
      <c r="A168" s="76" t="s">
        <v>165</v>
      </c>
      <c r="B168" s="25"/>
      <c r="C168" s="21">
        <f t="shared" ref="C168:H168" si="17">C169</f>
        <v>94.25</v>
      </c>
      <c r="D168" s="21">
        <f t="shared" si="17"/>
        <v>0</v>
      </c>
      <c r="E168" s="21">
        <f t="shared" si="17"/>
        <v>9383.4</v>
      </c>
      <c r="F168" s="21">
        <f t="shared" si="17"/>
        <v>93.834000000000003</v>
      </c>
      <c r="G168" s="46">
        <f t="shared" si="17"/>
        <v>41.6</v>
      </c>
      <c r="H168" s="25">
        <f t="shared" si="17"/>
        <v>0.41600000000000004</v>
      </c>
      <c r="I168" s="59"/>
    </row>
    <row r="169" spans="1:9">
      <c r="A169" s="11" t="s">
        <v>166</v>
      </c>
      <c r="B169" s="17"/>
      <c r="C169" s="16">
        <v>94.25</v>
      </c>
      <c r="D169" s="16"/>
      <c r="E169" s="48">
        <v>9383.4</v>
      </c>
      <c r="F169" s="103">
        <f>+E169*$J$82</f>
        <v>93.834000000000003</v>
      </c>
      <c r="G169" s="15">
        <v>41.6</v>
      </c>
      <c r="H169" s="104">
        <f>G169*J82</f>
        <v>0.41600000000000004</v>
      </c>
    </row>
    <row r="170" spans="1:9" s="55" customFormat="1" ht="18" customHeight="1">
      <c r="A170" s="76" t="s">
        <v>167</v>
      </c>
      <c r="B170" s="25"/>
      <c r="C170" s="21">
        <f>+(F170)</f>
        <v>0.80530000000000002</v>
      </c>
      <c r="D170" s="21">
        <f>+D171+D46</f>
        <v>1.21</v>
      </c>
      <c r="E170" s="46">
        <f>SUM(E171:E171)</f>
        <v>80.53</v>
      </c>
      <c r="F170" s="21">
        <f>+E170*$J$82</f>
        <v>0.80530000000000002</v>
      </c>
      <c r="G170" s="58">
        <f>SUM(G171:G171)</f>
        <v>0</v>
      </c>
      <c r="H170" s="24" t="s">
        <v>14</v>
      </c>
      <c r="I170" s="59"/>
    </row>
    <row r="171" spans="1:9" ht="12.95" customHeight="1">
      <c r="A171" s="11" t="s">
        <v>168</v>
      </c>
      <c r="B171" s="17"/>
      <c r="C171" s="16">
        <v>0.80530000000000002</v>
      </c>
      <c r="D171" s="49">
        <f>80/100</f>
        <v>0.8</v>
      </c>
      <c r="E171" s="50">
        <v>80.53</v>
      </c>
      <c r="F171" s="16">
        <f>+E171*$J$82</f>
        <v>0.80530000000000002</v>
      </c>
      <c r="G171" s="15"/>
      <c r="H171" s="39" t="s">
        <v>14</v>
      </c>
    </row>
    <row r="172" spans="1:9" s="55" customFormat="1" ht="18" customHeight="1">
      <c r="A172" s="105" t="s">
        <v>169</v>
      </c>
      <c r="B172" s="25"/>
      <c r="C172" s="133" t="s">
        <v>34</v>
      </c>
      <c r="D172" s="42"/>
      <c r="E172" s="65"/>
      <c r="F172" s="133" t="s">
        <v>34</v>
      </c>
      <c r="G172" s="36"/>
      <c r="H172" s="134" t="s">
        <v>34</v>
      </c>
      <c r="I172" s="73"/>
    </row>
    <row r="173" spans="1:9" s="55" customFormat="1" ht="15" customHeight="1">
      <c r="A173" s="11" t="s">
        <v>170</v>
      </c>
      <c r="B173" s="25"/>
      <c r="C173" s="133"/>
      <c r="D173" s="42" t="s">
        <v>34</v>
      </c>
      <c r="E173" s="65" t="s">
        <v>34</v>
      </c>
      <c r="F173" s="133"/>
      <c r="G173" s="36" t="s">
        <v>34</v>
      </c>
      <c r="H173" s="134"/>
      <c r="I173" s="73"/>
    </row>
    <row r="174" spans="1:9" ht="12.95" customHeight="1">
      <c r="A174" s="11" t="s">
        <v>171</v>
      </c>
      <c r="B174" s="17"/>
      <c r="C174" s="47" t="str">
        <f>+(F174)</f>
        <v>…</v>
      </c>
      <c r="D174" s="47" t="s">
        <v>34</v>
      </c>
      <c r="E174" s="48" t="s">
        <v>34</v>
      </c>
      <c r="F174" s="47" t="s">
        <v>34</v>
      </c>
      <c r="G174" s="43" t="s">
        <v>34</v>
      </c>
      <c r="H174" s="39" t="s">
        <v>34</v>
      </c>
      <c r="I174" s="26"/>
    </row>
    <row r="175" spans="1:9" s="55" customFormat="1" ht="18" customHeight="1">
      <c r="A175" s="80" t="s">
        <v>172</v>
      </c>
      <c r="B175" s="25">
        <f>SUM(B176)</f>
        <v>25.2</v>
      </c>
      <c r="C175" s="21">
        <f>SUM(C176:C177)</f>
        <v>25.2</v>
      </c>
      <c r="D175" s="21">
        <f>SUM(D176:D177)</f>
        <v>24.43</v>
      </c>
      <c r="E175" s="21">
        <f>SUM(E176:E177)</f>
        <v>2520</v>
      </c>
      <c r="F175" s="21">
        <f>SUM(F176:F177)</f>
        <v>25.2</v>
      </c>
      <c r="G175" s="58">
        <f>SUM(G176:G177)</f>
        <v>0</v>
      </c>
      <c r="H175" s="24" t="s">
        <v>14</v>
      </c>
      <c r="I175" s="59"/>
    </row>
    <row r="176" spans="1:9" ht="12.95" customHeight="1">
      <c r="A176" s="11" t="s">
        <v>173</v>
      </c>
      <c r="B176" s="17">
        <f>2520/100</f>
        <v>25.2</v>
      </c>
      <c r="C176" s="16">
        <v>25.2</v>
      </c>
      <c r="D176" s="16">
        <f>2443/100</f>
        <v>24.43</v>
      </c>
      <c r="E176" s="38">
        <v>2520</v>
      </c>
      <c r="F176" s="16">
        <f>+E176*$J$82</f>
        <v>25.2</v>
      </c>
      <c r="G176" s="43" t="s">
        <v>14</v>
      </c>
      <c r="H176" s="39" t="s">
        <v>14</v>
      </c>
    </row>
    <row r="177" spans="1:9" ht="12.95" customHeight="1">
      <c r="A177" s="11" t="s">
        <v>174</v>
      </c>
      <c r="B177" s="17"/>
      <c r="C177" s="47" t="str">
        <f>+(F177)</f>
        <v>…</v>
      </c>
      <c r="D177" s="47" t="s">
        <v>34</v>
      </c>
      <c r="E177" s="48" t="s">
        <v>34</v>
      </c>
      <c r="F177" s="47" t="s">
        <v>34</v>
      </c>
      <c r="G177" s="43" t="s">
        <v>34</v>
      </c>
      <c r="H177" s="39" t="s">
        <v>34</v>
      </c>
    </row>
    <row r="178" spans="1:9" s="61" customFormat="1" ht="18" customHeight="1">
      <c r="A178" s="76" t="s">
        <v>175</v>
      </c>
      <c r="B178" s="17"/>
      <c r="C178" s="42">
        <f t="shared" ref="C178:H178" si="18">C179</f>
        <v>0.34210000000000002</v>
      </c>
      <c r="D178" s="42">
        <f t="shared" si="18"/>
        <v>0</v>
      </c>
      <c r="E178" s="42">
        <f t="shared" si="18"/>
        <v>24</v>
      </c>
      <c r="F178" s="42">
        <f t="shared" si="18"/>
        <v>0.24</v>
      </c>
      <c r="G178" s="65">
        <f t="shared" si="18"/>
        <v>10</v>
      </c>
      <c r="H178" s="24">
        <f t="shared" si="18"/>
        <v>0.1</v>
      </c>
      <c r="I178" s="59"/>
    </row>
    <row r="179" spans="1:9" ht="12.95" customHeight="1">
      <c r="A179" s="11" t="s">
        <v>176</v>
      </c>
      <c r="B179" s="17"/>
      <c r="C179" s="16">
        <v>0.34210000000000002</v>
      </c>
      <c r="D179" s="47"/>
      <c r="E179" s="48">
        <v>24</v>
      </c>
      <c r="F179" s="16">
        <f>+E179*$J$82</f>
        <v>0.24</v>
      </c>
      <c r="G179" s="72">
        <v>10</v>
      </c>
      <c r="H179" s="39">
        <f>G179*J82</f>
        <v>0.1</v>
      </c>
    </row>
    <row r="180" spans="1:9" s="55" customFormat="1" ht="18" customHeight="1">
      <c r="A180" s="76" t="s">
        <v>177</v>
      </c>
      <c r="B180" s="25"/>
      <c r="C180" s="42">
        <f t="shared" ref="C180:H180" si="19">C181</f>
        <v>0.83950000000000002</v>
      </c>
      <c r="D180" s="42" t="e">
        <f t="shared" si="19"/>
        <v>#REF!</v>
      </c>
      <c r="E180" s="42">
        <f t="shared" si="19"/>
        <v>83.95</v>
      </c>
      <c r="F180" s="42">
        <f t="shared" si="19"/>
        <v>0.83950000000000002</v>
      </c>
      <c r="G180" s="65">
        <f t="shared" si="19"/>
        <v>0</v>
      </c>
      <c r="H180" s="24" t="str">
        <f t="shared" si="19"/>
        <v>-</v>
      </c>
      <c r="I180" s="59"/>
    </row>
    <row r="181" spans="1:9" ht="12.95" customHeight="1">
      <c r="A181" s="11" t="s">
        <v>178</v>
      </c>
      <c r="B181" s="17"/>
      <c r="C181" s="16">
        <v>0.83950000000000002</v>
      </c>
      <c r="D181" s="16" t="e">
        <f>+D42+D40+D30+D41+D10+#REF!+D194+D202+D203</f>
        <v>#REF!</v>
      </c>
      <c r="E181" s="38">
        <v>83.95</v>
      </c>
      <c r="F181" s="16">
        <f>+E181*$J$82</f>
        <v>0.83950000000000002</v>
      </c>
      <c r="G181" s="63"/>
      <c r="H181" s="39" t="s">
        <v>14</v>
      </c>
      <c r="I181" s="26"/>
    </row>
    <row r="182" spans="1:9" s="55" customFormat="1" ht="18" customHeight="1">
      <c r="A182" s="76" t="s">
        <v>179</v>
      </c>
      <c r="B182" s="45"/>
      <c r="C182" s="21">
        <f>F182</f>
        <v>1486.3500000000001</v>
      </c>
      <c r="D182" s="21"/>
      <c r="E182" s="46">
        <v>148635</v>
      </c>
      <c r="F182" s="21">
        <f>+E182*$J$82</f>
        <v>1486.3500000000001</v>
      </c>
      <c r="G182" s="58">
        <v>0</v>
      </c>
      <c r="H182" s="25">
        <f>G182*$J$82</f>
        <v>0</v>
      </c>
      <c r="I182" s="59"/>
    </row>
    <row r="183" spans="1:9" ht="12.95" customHeight="1">
      <c r="A183" s="11" t="s">
        <v>180</v>
      </c>
      <c r="B183" s="17"/>
      <c r="C183" s="16">
        <v>1486.3500000000001</v>
      </c>
      <c r="D183" s="16"/>
      <c r="E183" s="38">
        <v>148635</v>
      </c>
      <c r="F183" s="106">
        <f>+E183*$J$82</f>
        <v>1486.3500000000001</v>
      </c>
      <c r="G183" s="15">
        <v>0</v>
      </c>
      <c r="H183" s="107">
        <f>G183*$J$82</f>
        <v>0</v>
      </c>
      <c r="I183" s="26"/>
    </row>
    <row r="184" spans="1:9" s="55" customFormat="1" ht="18" customHeight="1">
      <c r="A184" s="76" t="s">
        <v>181</v>
      </c>
      <c r="B184" s="45"/>
      <c r="C184" s="21">
        <f>SUM(C185:C189)</f>
        <v>3373.9517999999998</v>
      </c>
      <c r="D184" s="21">
        <f t="shared" ref="D184:H184" si="20">SUM(D185:D189)</f>
        <v>1486.4</v>
      </c>
      <c r="E184" s="21">
        <f t="shared" si="20"/>
        <v>41617.550000000003</v>
      </c>
      <c r="F184" s="21">
        <f t="shared" si="20"/>
        <v>416.17550000000006</v>
      </c>
      <c r="G184" s="46">
        <f t="shared" si="20"/>
        <v>295777.64</v>
      </c>
      <c r="H184" s="25">
        <f t="shared" si="20"/>
        <v>2957.7764000000002</v>
      </c>
      <c r="I184" s="59"/>
    </row>
    <row r="185" spans="1:9" ht="12.95" customHeight="1">
      <c r="A185" s="11" t="s">
        <v>182</v>
      </c>
      <c r="B185" s="17"/>
      <c r="C185" s="16">
        <v>1686.71</v>
      </c>
      <c r="D185" s="16"/>
      <c r="E185" s="38">
        <v>33153</v>
      </c>
      <c r="F185" s="16">
        <f>+E185*$J$82</f>
        <v>331.53000000000003</v>
      </c>
      <c r="G185" s="15">
        <v>135518</v>
      </c>
      <c r="H185" s="17">
        <f>G185*$J$82</f>
        <v>1355.18</v>
      </c>
    </row>
    <row r="186" spans="1:9" ht="12.95" customHeight="1">
      <c r="A186" s="11" t="s">
        <v>183</v>
      </c>
      <c r="B186" s="17"/>
      <c r="C186" s="47" t="s">
        <v>20</v>
      </c>
      <c r="D186" s="16"/>
      <c r="E186" s="38"/>
      <c r="F186" s="47" t="s">
        <v>20</v>
      </c>
      <c r="G186" s="15"/>
      <c r="H186" s="39" t="s">
        <v>20</v>
      </c>
    </row>
    <row r="187" spans="1:9" ht="12.95" customHeight="1">
      <c r="A187" s="11" t="s">
        <v>184</v>
      </c>
      <c r="B187" s="17"/>
      <c r="C187" s="16">
        <v>1687.2418</v>
      </c>
      <c r="D187" s="16">
        <v>1486.4</v>
      </c>
      <c r="E187" s="38">
        <v>8464.5499999999993</v>
      </c>
      <c r="F187" s="16">
        <f>+E187*$J$82</f>
        <v>84.645499999999998</v>
      </c>
      <c r="G187" s="43">
        <v>160259.64000000001</v>
      </c>
      <c r="H187" s="17">
        <f>G187*$J$82</f>
        <v>1602.5964000000001</v>
      </c>
    </row>
    <row r="188" spans="1:9" ht="12.95" customHeight="1">
      <c r="A188" s="53" t="s">
        <v>185</v>
      </c>
      <c r="B188" s="34"/>
      <c r="C188" s="126" t="s">
        <v>20</v>
      </c>
      <c r="D188" s="34"/>
      <c r="E188" s="139"/>
      <c r="F188" s="126" t="s">
        <v>20</v>
      </c>
      <c r="G188" s="139"/>
      <c r="H188" s="126" t="s">
        <v>20</v>
      </c>
    </row>
    <row r="189" spans="1:9" ht="12.95" customHeight="1">
      <c r="A189" s="54" t="s">
        <v>186</v>
      </c>
      <c r="B189" s="17"/>
      <c r="C189" s="126"/>
      <c r="D189" s="47" t="s">
        <v>34</v>
      </c>
      <c r="E189" s="139"/>
      <c r="F189" s="126"/>
      <c r="G189" s="139"/>
      <c r="H189" s="126"/>
    </row>
    <row r="190" spans="1:9" s="40" customFormat="1" ht="18" customHeight="1">
      <c r="A190" s="76" t="s">
        <v>187</v>
      </c>
      <c r="B190" s="25"/>
      <c r="C190" s="42">
        <f>SUM(C191:C192)</f>
        <v>1792.9775</v>
      </c>
      <c r="D190" s="42" t="e">
        <f t="shared" ref="D190:H190" si="21">SUM(D191:D192)</f>
        <v>#REF!</v>
      </c>
      <c r="E190" s="42">
        <f t="shared" si="21"/>
        <v>139.9</v>
      </c>
      <c r="F190" s="42">
        <f t="shared" si="21"/>
        <v>1.399</v>
      </c>
      <c r="G190" s="65">
        <f t="shared" si="21"/>
        <v>179157.86</v>
      </c>
      <c r="H190" s="24">
        <f t="shared" si="21"/>
        <v>1791.5786000000001</v>
      </c>
      <c r="I190" s="26"/>
    </row>
    <row r="191" spans="1:9" ht="12.95" customHeight="1">
      <c r="A191" s="11" t="s">
        <v>188</v>
      </c>
      <c r="B191" s="17"/>
      <c r="C191" s="16">
        <v>1783.2906</v>
      </c>
      <c r="D191" s="16">
        <v>1783.3</v>
      </c>
      <c r="E191" s="38">
        <v>100.79</v>
      </c>
      <c r="F191" s="16">
        <f>+E191*$J$82</f>
        <v>1.0079</v>
      </c>
      <c r="G191" s="15">
        <v>178228.28</v>
      </c>
      <c r="H191" s="17">
        <f>G191*$J$82</f>
        <v>1782.2828</v>
      </c>
    </row>
    <row r="192" spans="1:9" ht="12.95" customHeight="1">
      <c r="A192" s="11" t="s">
        <v>189</v>
      </c>
      <c r="B192" s="17"/>
      <c r="C192" s="16">
        <v>9.6869000000000014</v>
      </c>
      <c r="D192" s="47" t="e">
        <f>SUM(D180:D180)</f>
        <v>#REF!</v>
      </c>
      <c r="E192" s="48">
        <v>39.11</v>
      </c>
      <c r="F192" s="16">
        <f>+E192*$J$82</f>
        <v>0.3911</v>
      </c>
      <c r="G192" s="72">
        <v>929.58</v>
      </c>
      <c r="H192" s="17">
        <f>G192*$J$82</f>
        <v>9.2957999999999998</v>
      </c>
      <c r="I192" s="26"/>
    </row>
    <row r="193" spans="1:9" s="55" customFormat="1" ht="18" customHeight="1">
      <c r="A193" s="76" t="s">
        <v>190</v>
      </c>
      <c r="B193" s="25"/>
      <c r="C193" s="21">
        <f t="shared" ref="C193:H193" si="22">C194</f>
        <v>167.0188</v>
      </c>
      <c r="D193" s="21">
        <f t="shared" si="22"/>
        <v>97.85</v>
      </c>
      <c r="E193" s="21">
        <f t="shared" si="22"/>
        <v>16701.88</v>
      </c>
      <c r="F193" s="21">
        <f t="shared" si="22"/>
        <v>167.01880000000003</v>
      </c>
      <c r="G193" s="46">
        <f t="shared" si="22"/>
        <v>0</v>
      </c>
      <c r="H193" s="24" t="str">
        <f t="shared" si="22"/>
        <v>-</v>
      </c>
      <c r="I193" s="59"/>
    </row>
    <row r="194" spans="1:9">
      <c r="A194" s="11" t="s">
        <v>191</v>
      </c>
      <c r="B194" s="17"/>
      <c r="C194" s="16">
        <v>167.0188</v>
      </c>
      <c r="D194" s="16">
        <f>9785/100</f>
        <v>97.85</v>
      </c>
      <c r="E194" s="38">
        <v>16701.88</v>
      </c>
      <c r="F194" s="16">
        <f>+E194*$J$82</f>
        <v>167.01880000000003</v>
      </c>
      <c r="G194" s="15"/>
      <c r="H194" s="39" t="s">
        <v>14</v>
      </c>
    </row>
    <row r="195" spans="1:9" s="61" customFormat="1" ht="18" customHeight="1">
      <c r="A195" s="76" t="s">
        <v>192</v>
      </c>
      <c r="B195" s="17"/>
      <c r="C195" s="42">
        <f>SUM(C201:C205)</f>
        <v>59.070599999999999</v>
      </c>
      <c r="D195" s="42">
        <f t="shared" ref="D195:G195" si="23">SUM(D196:D205)</f>
        <v>59.07</v>
      </c>
      <c r="E195" s="42">
        <f t="shared" si="23"/>
        <v>13789.230000000001</v>
      </c>
      <c r="F195" s="42">
        <f>SUM(F197:F205)</f>
        <v>40.042300000000004</v>
      </c>
      <c r="G195" s="65">
        <f t="shared" si="23"/>
        <v>1902.82</v>
      </c>
      <c r="H195" s="24">
        <f>SUM(H197:H205)</f>
        <v>19.028199999999998</v>
      </c>
      <c r="I195" s="59"/>
    </row>
    <row r="196" spans="1:9" ht="12.95" hidden="1" customHeight="1">
      <c r="A196" s="54" t="s">
        <v>193</v>
      </c>
      <c r="B196" s="17"/>
      <c r="C196" s="16">
        <f>F196</f>
        <v>97.850000000000009</v>
      </c>
      <c r="D196" s="16"/>
      <c r="E196" s="38">
        <v>9785</v>
      </c>
      <c r="F196" s="16">
        <f>E196*$J$82</f>
        <v>97.850000000000009</v>
      </c>
      <c r="G196" s="15"/>
      <c r="H196" s="39" t="s">
        <v>14</v>
      </c>
    </row>
    <row r="197" spans="1:9" ht="12.95" customHeight="1">
      <c r="A197" s="108" t="s">
        <v>194</v>
      </c>
      <c r="B197" s="17"/>
      <c r="C197" s="125" t="str">
        <f>+(F197)</f>
        <v>…</v>
      </c>
      <c r="D197" s="47"/>
      <c r="E197" s="48"/>
      <c r="F197" s="125" t="s">
        <v>34</v>
      </c>
      <c r="G197" s="43"/>
      <c r="H197" s="126" t="s">
        <v>34</v>
      </c>
    </row>
    <row r="198" spans="1:9">
      <c r="A198" s="54" t="s">
        <v>195</v>
      </c>
      <c r="B198" s="17"/>
      <c r="C198" s="125"/>
      <c r="D198" s="47" t="s">
        <v>34</v>
      </c>
      <c r="E198" s="48" t="s">
        <v>34</v>
      </c>
      <c r="F198" s="125"/>
      <c r="G198" s="43"/>
      <c r="H198" s="126"/>
    </row>
    <row r="199" spans="1:9">
      <c r="A199" s="76" t="s">
        <v>196</v>
      </c>
      <c r="B199" s="41"/>
      <c r="C199" s="47"/>
      <c r="D199" s="47"/>
      <c r="E199" s="48"/>
      <c r="F199" s="47"/>
      <c r="G199" s="43"/>
      <c r="H199" s="39"/>
    </row>
    <row r="200" spans="1:9" ht="12.95" customHeight="1">
      <c r="A200" s="11" t="s">
        <v>197</v>
      </c>
      <c r="B200" s="41"/>
      <c r="C200" s="47" t="str">
        <f>+(F200)</f>
        <v>…</v>
      </c>
      <c r="D200" s="47" t="s">
        <v>34</v>
      </c>
      <c r="E200" s="48" t="s">
        <v>34</v>
      </c>
      <c r="F200" s="47" t="s">
        <v>34</v>
      </c>
      <c r="G200" s="43"/>
      <c r="H200" s="39" t="s">
        <v>34</v>
      </c>
    </row>
    <row r="201" spans="1:9">
      <c r="A201" s="11" t="s">
        <v>198</v>
      </c>
      <c r="B201" s="17"/>
      <c r="C201" s="16">
        <f>+(F201)</f>
        <v>4</v>
      </c>
      <c r="D201" s="16">
        <f>400/100</f>
        <v>4</v>
      </c>
      <c r="E201" s="38">
        <v>400</v>
      </c>
      <c r="F201" s="16">
        <f>+E201*$J$82</f>
        <v>4</v>
      </c>
      <c r="G201" s="15"/>
      <c r="H201" s="39" t="s">
        <v>14</v>
      </c>
    </row>
    <row r="202" spans="1:9" ht="12.95" customHeight="1">
      <c r="A202" s="11" t="s">
        <v>199</v>
      </c>
      <c r="B202" s="17"/>
      <c r="C202" s="16">
        <v>21.276199999999999</v>
      </c>
      <c r="D202" s="16">
        <f>2128/100</f>
        <v>21.28</v>
      </c>
      <c r="E202" s="38">
        <v>224.79</v>
      </c>
      <c r="F202" s="16">
        <f>+E202*$J$82</f>
        <v>2.2479</v>
      </c>
      <c r="G202" s="15">
        <v>1902.82</v>
      </c>
      <c r="H202" s="39">
        <f>G202*J82</f>
        <v>19.028199999999998</v>
      </c>
    </row>
    <row r="203" spans="1:9" ht="12.95" customHeight="1">
      <c r="A203" s="11" t="s">
        <v>200</v>
      </c>
      <c r="B203" s="17"/>
      <c r="C203" s="16">
        <v>33.794400000000003</v>
      </c>
      <c r="D203" s="16">
        <f>3379/100</f>
        <v>33.79</v>
      </c>
      <c r="E203" s="38">
        <v>3379.44</v>
      </c>
      <c r="F203" s="16">
        <f>+E203*$J$82</f>
        <v>33.794400000000003</v>
      </c>
      <c r="G203" s="15"/>
      <c r="H203" s="39" t="s">
        <v>14</v>
      </c>
    </row>
    <row r="204" spans="1:9" ht="12.95" customHeight="1">
      <c r="A204" s="53" t="s">
        <v>201</v>
      </c>
      <c r="B204" s="109"/>
      <c r="C204" s="140" t="s">
        <v>20</v>
      </c>
      <c r="D204" s="110"/>
      <c r="E204" s="15"/>
      <c r="F204" s="126" t="s">
        <v>20</v>
      </c>
      <c r="G204" s="15"/>
      <c r="H204" s="126" t="s">
        <v>20</v>
      </c>
    </row>
    <row r="205" spans="1:9" ht="12.95" customHeight="1">
      <c r="A205" s="54" t="s">
        <v>202</v>
      </c>
      <c r="B205" s="34"/>
      <c r="C205" s="140"/>
      <c r="D205" s="34"/>
      <c r="E205" s="69"/>
      <c r="F205" s="126"/>
      <c r="G205" s="15"/>
      <c r="H205" s="126"/>
    </row>
    <row r="206" spans="1:9" ht="15" customHeight="1">
      <c r="A206" s="111"/>
      <c r="B206" s="112"/>
      <c r="C206" s="113"/>
      <c r="D206" s="112"/>
      <c r="E206" s="114"/>
      <c r="F206" s="109"/>
      <c r="G206" s="114"/>
      <c r="H206" s="109"/>
    </row>
    <row r="207" spans="1:9" ht="12.95" customHeight="1">
      <c r="A207" s="14"/>
      <c r="B207" s="34"/>
      <c r="C207" s="41"/>
      <c r="D207" s="34"/>
      <c r="E207" s="69"/>
      <c r="F207" s="41"/>
      <c r="G207" s="15"/>
      <c r="H207" s="41"/>
      <c r="I207" s="26"/>
    </row>
    <row r="208" spans="1:9" ht="12.95" customHeight="1">
      <c r="A208" s="14" t="s">
        <v>216</v>
      </c>
      <c r="B208" s="34"/>
      <c r="C208" s="41"/>
      <c r="D208" s="34"/>
      <c r="E208" s="69"/>
      <c r="F208" s="41"/>
      <c r="G208" s="15"/>
      <c r="H208" s="41"/>
    </row>
    <row r="209" spans="1:9" ht="12.95" customHeight="1">
      <c r="A209" s="14" t="s">
        <v>203</v>
      </c>
      <c r="B209" s="34"/>
      <c r="C209" s="41"/>
      <c r="D209" s="34"/>
      <c r="E209" s="69"/>
      <c r="F209" s="41"/>
      <c r="G209" s="15"/>
      <c r="H209" s="41"/>
    </row>
    <row r="210" spans="1:9" s="34" customFormat="1" ht="12.95" customHeight="1">
      <c r="A210" s="14" t="s">
        <v>204</v>
      </c>
      <c r="C210" s="41"/>
      <c r="G210" s="69"/>
      <c r="I210" s="1"/>
    </row>
    <row r="211" spans="1:9" ht="12.95" customHeight="1">
      <c r="A211" s="14" t="s">
        <v>205</v>
      </c>
      <c r="B211" s="34"/>
      <c r="C211" s="41"/>
      <c r="D211" s="34"/>
      <c r="E211" s="69"/>
      <c r="F211" s="41"/>
      <c r="G211" s="15"/>
      <c r="H211" s="41"/>
    </row>
    <row r="212" spans="1:9" ht="12.95" customHeight="1">
      <c r="A212" s="14" t="s">
        <v>206</v>
      </c>
      <c r="B212" s="34"/>
      <c r="C212" s="41"/>
      <c r="D212" s="34"/>
      <c r="E212" s="69"/>
      <c r="F212" s="41"/>
      <c r="G212" s="15"/>
      <c r="H212" s="41"/>
    </row>
    <row r="213" spans="1:9" ht="12.95" customHeight="1">
      <c r="A213" s="14" t="s">
        <v>207</v>
      </c>
      <c r="B213" s="34"/>
      <c r="C213" s="41"/>
      <c r="D213" s="34"/>
      <c r="E213" s="69"/>
      <c r="F213" s="41"/>
      <c r="G213" s="15"/>
      <c r="H213" s="41"/>
    </row>
    <row r="214" spans="1:9" s="34" customFormat="1" ht="12.95" customHeight="1">
      <c r="A214" s="14" t="s">
        <v>208</v>
      </c>
      <c r="C214" s="41"/>
      <c r="G214" s="69"/>
      <c r="I214" s="1"/>
    </row>
    <row r="215" spans="1:9" ht="12.95" customHeight="1">
      <c r="A215" s="14" t="s">
        <v>209</v>
      </c>
      <c r="B215" s="116"/>
      <c r="C215" s="117"/>
      <c r="D215" s="116"/>
      <c r="E215" s="34"/>
      <c r="F215" s="34"/>
      <c r="G215" s="69"/>
      <c r="H215" s="34"/>
    </row>
    <row r="216" spans="1:9" ht="12.95" customHeight="1">
      <c r="A216" s="118" t="s">
        <v>210</v>
      </c>
      <c r="B216" s="110"/>
      <c r="C216" s="41"/>
      <c r="D216" s="110"/>
      <c r="E216" s="15"/>
      <c r="F216" s="41"/>
      <c r="G216" s="15"/>
      <c r="H216" s="41"/>
    </row>
    <row r="217" spans="1:9" ht="12.95" customHeight="1">
      <c r="A217" s="119" t="s">
        <v>211</v>
      </c>
      <c r="B217" s="110" t="s">
        <v>212</v>
      </c>
      <c r="C217" s="41"/>
      <c r="D217" s="110"/>
      <c r="E217" s="15"/>
      <c r="F217" s="41"/>
      <c r="G217" s="15"/>
      <c r="H217" s="41"/>
    </row>
    <row r="218" spans="1:9" ht="17.25" customHeight="1">
      <c r="A218" s="14" t="s">
        <v>213</v>
      </c>
      <c r="B218" s="34"/>
      <c r="C218" s="41"/>
      <c r="D218" s="34"/>
      <c r="E218" s="69"/>
      <c r="F218" s="120"/>
      <c r="G218" s="69"/>
      <c r="H218" s="121"/>
    </row>
    <row r="219" spans="1:9">
      <c r="A219" s="118" t="s">
        <v>214</v>
      </c>
      <c r="B219" s="34"/>
      <c r="C219" s="41"/>
      <c r="D219" s="34"/>
      <c r="E219" s="69"/>
      <c r="F219" s="120"/>
      <c r="G219" s="69"/>
      <c r="H219" s="34"/>
      <c r="I219" s="37"/>
    </row>
    <row r="220" spans="1:9">
      <c r="A220" s="14" t="s">
        <v>215</v>
      </c>
      <c r="B220" s="34"/>
      <c r="C220" s="41"/>
      <c r="D220" s="34"/>
      <c r="E220" s="69"/>
      <c r="F220" s="120"/>
      <c r="G220" s="69"/>
      <c r="H220" s="34"/>
      <c r="I220" s="37"/>
    </row>
    <row r="221" spans="1:9">
      <c r="A221" s="14"/>
      <c r="B221" s="34"/>
      <c r="C221" s="41"/>
      <c r="D221" s="34"/>
      <c r="E221" s="69"/>
      <c r="F221" s="120"/>
      <c r="G221" s="69"/>
      <c r="H221" s="2"/>
      <c r="I221" s="37"/>
    </row>
    <row r="222" spans="1:9">
      <c r="A222" s="34" t="s">
        <v>91</v>
      </c>
      <c r="B222" s="34"/>
      <c r="C222" s="41"/>
      <c r="D222" s="34"/>
      <c r="E222" s="69"/>
      <c r="F222" s="120"/>
      <c r="G222" s="69"/>
      <c r="H222" s="2"/>
      <c r="I222" s="37"/>
    </row>
    <row r="223" spans="1:9">
      <c r="B223" s="34"/>
      <c r="C223" s="41"/>
      <c r="D223" s="34"/>
      <c r="E223" s="69"/>
      <c r="F223" s="120"/>
      <c r="G223" s="69"/>
      <c r="H223" s="2"/>
      <c r="I223" s="37"/>
    </row>
    <row r="224" spans="1:9">
      <c r="B224" s="34"/>
      <c r="C224" s="41"/>
      <c r="D224" s="34"/>
      <c r="E224" s="69"/>
      <c r="F224" s="120"/>
      <c r="G224" s="69"/>
      <c r="H224" s="2"/>
      <c r="I224" s="37"/>
    </row>
    <row r="225" spans="1:9">
      <c r="A225" s="34"/>
      <c r="B225" s="34"/>
      <c r="C225" s="41"/>
      <c r="D225" s="34"/>
      <c r="E225" s="69"/>
      <c r="F225" s="120"/>
      <c r="G225" s="69"/>
      <c r="H225" s="2"/>
      <c r="I225" s="37"/>
    </row>
    <row r="226" spans="1:9">
      <c r="A226" s="34"/>
      <c r="B226" s="34"/>
      <c r="C226" s="41"/>
      <c r="D226" s="34"/>
      <c r="E226" s="69"/>
      <c r="F226" s="120"/>
      <c r="G226" s="69"/>
      <c r="H226" s="2"/>
      <c r="I226" s="37"/>
    </row>
    <row r="227" spans="1:9">
      <c r="A227" s="34"/>
      <c r="B227" s="34"/>
      <c r="C227" s="41"/>
      <c r="D227" s="34"/>
      <c r="E227" s="69"/>
      <c r="F227" s="120"/>
      <c r="G227" s="69"/>
      <c r="H227" s="2"/>
      <c r="I227" s="37"/>
    </row>
    <row r="228" spans="1:9">
      <c r="A228" s="34"/>
      <c r="B228" s="34"/>
      <c r="C228" s="41"/>
      <c r="D228" s="34"/>
      <c r="E228" s="69"/>
      <c r="F228" s="120"/>
      <c r="G228" s="69"/>
      <c r="H228" s="2"/>
      <c r="I228" s="37"/>
    </row>
    <row r="229" spans="1:9">
      <c r="A229" s="34"/>
      <c r="B229" s="34"/>
      <c r="C229" s="41"/>
      <c r="D229" s="34"/>
      <c r="E229" s="69"/>
      <c r="F229" s="120"/>
      <c r="G229" s="69"/>
      <c r="H229" s="2"/>
      <c r="I229" s="37"/>
    </row>
    <row r="230" spans="1:9">
      <c r="A230" s="34"/>
      <c r="B230" s="34"/>
      <c r="C230" s="41"/>
      <c r="D230" s="34"/>
      <c r="E230" s="69"/>
      <c r="F230" s="120"/>
      <c r="G230" s="69"/>
      <c r="H230" s="2"/>
      <c r="I230" s="37"/>
    </row>
    <row r="231" spans="1:9">
      <c r="A231" s="34"/>
      <c r="B231" s="69"/>
      <c r="C231" s="41"/>
      <c r="D231" s="34"/>
      <c r="E231" s="69"/>
      <c r="F231" s="120"/>
      <c r="G231" s="69"/>
      <c r="H231" s="2"/>
      <c r="I231" s="37"/>
    </row>
    <row r="232" spans="1:9">
      <c r="A232" s="34"/>
      <c r="B232" s="34"/>
      <c r="C232" s="41"/>
      <c r="D232" s="34"/>
      <c r="E232" s="69"/>
      <c r="F232" s="120"/>
      <c r="G232" s="69"/>
      <c r="H232" s="2"/>
      <c r="I232" s="37"/>
    </row>
    <row r="233" spans="1:9">
      <c r="A233" s="34"/>
      <c r="B233" s="34"/>
      <c r="C233" s="41"/>
      <c r="D233" s="34"/>
      <c r="E233" s="69"/>
      <c r="F233" s="120"/>
      <c r="G233" s="69"/>
      <c r="H233" s="2"/>
      <c r="I233" s="37"/>
    </row>
    <row r="234" spans="1:9">
      <c r="A234" s="34"/>
      <c r="B234" s="34"/>
      <c r="C234" s="41"/>
      <c r="D234" s="34"/>
      <c r="E234" s="69"/>
      <c r="F234" s="120"/>
      <c r="G234" s="69"/>
      <c r="H234" s="2"/>
      <c r="I234" s="37"/>
    </row>
    <row r="235" spans="1:9">
      <c r="A235" s="34"/>
      <c r="B235" s="34"/>
      <c r="C235" s="41"/>
      <c r="D235" s="34"/>
      <c r="E235" s="69"/>
      <c r="F235" s="120"/>
      <c r="G235" s="69"/>
      <c r="H235" s="2"/>
      <c r="I235" s="37"/>
    </row>
    <row r="236" spans="1:9">
      <c r="A236" s="34"/>
      <c r="C236" s="122"/>
      <c r="H236" s="2"/>
      <c r="I236" s="37"/>
    </row>
    <row r="237" spans="1:9">
      <c r="A237" s="34"/>
      <c r="C237" s="122"/>
      <c r="H237" s="2"/>
      <c r="I237" s="37"/>
    </row>
    <row r="238" spans="1:9">
      <c r="A238" s="34"/>
      <c r="C238" s="122"/>
      <c r="H238" s="2"/>
      <c r="I238" s="37"/>
    </row>
    <row r="239" spans="1:9">
      <c r="A239" s="34"/>
      <c r="C239" s="122"/>
      <c r="H239" s="2"/>
      <c r="I239" s="37"/>
    </row>
    <row r="240" spans="1:9">
      <c r="C240" s="122"/>
      <c r="H240" s="2"/>
      <c r="I240" s="37"/>
    </row>
    <row r="241" spans="1:9">
      <c r="C241" s="122"/>
      <c r="H241" s="2"/>
      <c r="I241" s="37"/>
    </row>
    <row r="242" spans="1:9" ht="30">
      <c r="A242" s="123"/>
      <c r="C242" s="122"/>
      <c r="H242" s="2"/>
      <c r="I242" s="37"/>
    </row>
    <row r="243" spans="1:9">
      <c r="C243" s="122"/>
      <c r="H243" s="2"/>
      <c r="I243" s="37"/>
    </row>
    <row r="244" spans="1:9">
      <c r="C244" s="122"/>
      <c r="H244" s="2"/>
      <c r="I244" s="37"/>
    </row>
    <row r="245" spans="1:9">
      <c r="C245" s="122"/>
      <c r="H245" s="2"/>
      <c r="I245" s="37"/>
    </row>
    <row r="246" spans="1:9">
      <c r="C246" s="122"/>
      <c r="H246" s="2"/>
      <c r="I246" s="37"/>
    </row>
    <row r="247" spans="1:9">
      <c r="C247" s="122"/>
      <c r="H247" s="2"/>
      <c r="I247" s="37"/>
    </row>
    <row r="248" spans="1:9">
      <c r="C248" s="122"/>
      <c r="H248" s="2"/>
      <c r="I248" s="37"/>
    </row>
    <row r="249" spans="1:9">
      <c r="C249" s="122"/>
      <c r="H249" s="2"/>
      <c r="I249" s="37"/>
    </row>
    <row r="250" spans="1:9">
      <c r="C250" s="122"/>
      <c r="H250" s="2"/>
      <c r="I250" s="37"/>
    </row>
    <row r="251" spans="1:9">
      <c r="C251" s="122"/>
      <c r="E251" s="2"/>
      <c r="F251" s="2"/>
      <c r="H251" s="2"/>
      <c r="I251" s="37"/>
    </row>
    <row r="252" spans="1:9">
      <c r="C252" s="122"/>
      <c r="E252" s="2"/>
      <c r="F252" s="2"/>
      <c r="H252" s="2"/>
      <c r="I252" s="37"/>
    </row>
    <row r="253" spans="1:9">
      <c r="C253" s="122"/>
      <c r="E253" s="2"/>
      <c r="F253" s="2"/>
      <c r="H253" s="2"/>
      <c r="I253" s="37"/>
    </row>
    <row r="254" spans="1:9">
      <c r="C254" s="122"/>
      <c r="E254" s="2"/>
      <c r="F254" s="2"/>
      <c r="H254" s="2"/>
      <c r="I254" s="37"/>
    </row>
    <row r="255" spans="1:9">
      <c r="C255" s="122"/>
      <c r="E255" s="2"/>
      <c r="F255" s="2"/>
      <c r="H255" s="2"/>
      <c r="I255" s="37"/>
    </row>
    <row r="256" spans="1:9">
      <c r="C256" s="122"/>
      <c r="E256" s="2"/>
      <c r="F256" s="2"/>
      <c r="H256" s="2"/>
      <c r="I256" s="37"/>
    </row>
    <row r="257" spans="3:9">
      <c r="C257" s="122"/>
      <c r="E257" s="2"/>
      <c r="F257" s="2"/>
      <c r="H257" s="2"/>
      <c r="I257" s="37"/>
    </row>
    <row r="258" spans="3:9">
      <c r="C258" s="122"/>
      <c r="E258" s="2"/>
      <c r="F258" s="2"/>
      <c r="H258" s="2"/>
      <c r="I258" s="37"/>
    </row>
    <row r="259" spans="3:9">
      <c r="C259" s="122"/>
      <c r="E259" s="2"/>
      <c r="F259" s="2"/>
      <c r="H259" s="2"/>
      <c r="I259" s="37"/>
    </row>
    <row r="260" spans="3:9">
      <c r="C260" s="122"/>
      <c r="E260" s="2"/>
      <c r="F260" s="2"/>
      <c r="H260" s="2"/>
      <c r="I260" s="37"/>
    </row>
    <row r="261" spans="3:9">
      <c r="C261" s="122"/>
      <c r="E261" s="2"/>
      <c r="F261" s="2"/>
      <c r="H261" s="2"/>
      <c r="I261" s="37"/>
    </row>
    <row r="262" spans="3:9">
      <c r="C262" s="122"/>
      <c r="E262" s="2"/>
      <c r="F262" s="2"/>
      <c r="H262" s="2"/>
      <c r="I262" s="37"/>
    </row>
    <row r="263" spans="3:9">
      <c r="C263" s="122"/>
      <c r="E263" s="2"/>
      <c r="F263" s="2"/>
      <c r="H263" s="2"/>
      <c r="I263" s="37"/>
    </row>
    <row r="264" spans="3:9">
      <c r="C264" s="122"/>
      <c r="E264" s="2"/>
      <c r="F264" s="2"/>
      <c r="H264" s="2"/>
      <c r="I264" s="37"/>
    </row>
    <row r="265" spans="3:9">
      <c r="C265" s="122"/>
      <c r="E265" s="2"/>
      <c r="F265" s="2"/>
      <c r="H265" s="2"/>
      <c r="I265" s="37"/>
    </row>
    <row r="266" spans="3:9">
      <c r="C266" s="122"/>
      <c r="E266" s="2"/>
      <c r="F266" s="2"/>
      <c r="H266" s="2"/>
      <c r="I266" s="37"/>
    </row>
    <row r="267" spans="3:9">
      <c r="C267" s="122"/>
      <c r="E267" s="2"/>
      <c r="F267" s="2"/>
      <c r="H267" s="2"/>
      <c r="I267" s="37"/>
    </row>
    <row r="268" spans="3:9">
      <c r="C268" s="122"/>
      <c r="E268" s="2"/>
      <c r="F268" s="2"/>
      <c r="H268" s="2"/>
      <c r="I268" s="37"/>
    </row>
    <row r="269" spans="3:9">
      <c r="C269" s="122"/>
      <c r="E269" s="2"/>
      <c r="F269" s="2"/>
      <c r="H269" s="2"/>
      <c r="I269" s="37"/>
    </row>
    <row r="270" spans="3:9">
      <c r="C270" s="122"/>
      <c r="E270" s="2"/>
      <c r="F270" s="2"/>
      <c r="H270" s="2"/>
      <c r="I270" s="37"/>
    </row>
    <row r="271" spans="3:9">
      <c r="C271" s="122"/>
      <c r="E271" s="2"/>
      <c r="F271" s="2"/>
      <c r="H271" s="2"/>
      <c r="I271" s="37"/>
    </row>
    <row r="272" spans="3:9">
      <c r="C272" s="122"/>
      <c r="E272" s="2"/>
      <c r="F272" s="2"/>
      <c r="H272" s="2"/>
      <c r="I272" s="37"/>
    </row>
    <row r="273" spans="3:9">
      <c r="C273" s="122"/>
      <c r="E273" s="2"/>
      <c r="F273" s="2"/>
      <c r="H273" s="2"/>
      <c r="I273" s="37"/>
    </row>
    <row r="274" spans="3:9">
      <c r="C274" s="122"/>
      <c r="E274" s="2"/>
      <c r="F274" s="2"/>
      <c r="H274" s="2"/>
      <c r="I274" s="37"/>
    </row>
    <row r="275" spans="3:9">
      <c r="C275" s="122"/>
      <c r="E275" s="2"/>
      <c r="F275" s="2"/>
      <c r="H275" s="2"/>
      <c r="I275" s="37"/>
    </row>
    <row r="276" spans="3:9">
      <c r="C276" s="122"/>
      <c r="E276" s="2"/>
      <c r="F276" s="2"/>
      <c r="H276" s="2"/>
      <c r="I276" s="37"/>
    </row>
    <row r="277" spans="3:9">
      <c r="C277" s="122"/>
      <c r="E277" s="2"/>
      <c r="F277" s="2"/>
      <c r="H277" s="2"/>
      <c r="I277" s="37"/>
    </row>
    <row r="278" spans="3:9">
      <c r="C278" s="122"/>
      <c r="E278" s="2"/>
      <c r="F278" s="2"/>
      <c r="H278" s="2"/>
      <c r="I278" s="37"/>
    </row>
    <row r="279" spans="3:9">
      <c r="C279" s="122"/>
      <c r="E279" s="2"/>
      <c r="F279" s="2"/>
      <c r="H279" s="2"/>
      <c r="I279" s="37"/>
    </row>
    <row r="280" spans="3:9">
      <c r="C280" s="122"/>
      <c r="E280" s="2"/>
      <c r="F280" s="2"/>
      <c r="H280" s="2"/>
      <c r="I280" s="37"/>
    </row>
    <row r="281" spans="3:9">
      <c r="C281" s="122"/>
      <c r="E281" s="2"/>
      <c r="F281" s="2"/>
      <c r="H281" s="2"/>
      <c r="I281" s="37"/>
    </row>
    <row r="282" spans="3:9">
      <c r="C282" s="122"/>
      <c r="E282" s="2"/>
      <c r="F282" s="2"/>
      <c r="H282" s="2"/>
      <c r="I282" s="37"/>
    </row>
    <row r="283" spans="3:9">
      <c r="C283" s="122"/>
      <c r="E283" s="2"/>
      <c r="F283" s="2"/>
      <c r="H283" s="2"/>
      <c r="I283" s="37"/>
    </row>
    <row r="284" spans="3:9">
      <c r="C284" s="122"/>
      <c r="E284" s="2"/>
      <c r="F284" s="2"/>
      <c r="H284" s="2"/>
      <c r="I284" s="37"/>
    </row>
    <row r="285" spans="3:9">
      <c r="C285" s="122"/>
      <c r="E285" s="2"/>
      <c r="F285" s="2"/>
      <c r="H285" s="2"/>
      <c r="I285" s="37"/>
    </row>
    <row r="286" spans="3:9">
      <c r="C286" s="122"/>
      <c r="E286" s="2"/>
      <c r="F286" s="2"/>
      <c r="H286" s="2"/>
      <c r="I286" s="37"/>
    </row>
    <row r="287" spans="3:9">
      <c r="C287" s="122"/>
      <c r="E287" s="2"/>
      <c r="F287" s="2"/>
      <c r="H287" s="2"/>
      <c r="I287" s="37"/>
    </row>
    <row r="288" spans="3:9">
      <c r="C288" s="122"/>
      <c r="E288" s="2"/>
      <c r="F288" s="2"/>
      <c r="H288" s="2"/>
      <c r="I288" s="37"/>
    </row>
    <row r="289" spans="3:9">
      <c r="C289" s="122"/>
      <c r="E289" s="2"/>
      <c r="F289" s="2"/>
      <c r="H289" s="2"/>
      <c r="I289" s="37"/>
    </row>
    <row r="290" spans="3:9">
      <c r="C290" s="122"/>
      <c r="E290" s="2"/>
      <c r="F290" s="2"/>
      <c r="H290" s="2"/>
      <c r="I290" s="37"/>
    </row>
    <row r="291" spans="3:9">
      <c r="C291" s="122"/>
      <c r="E291" s="2"/>
      <c r="F291" s="2"/>
      <c r="H291" s="2"/>
      <c r="I291" s="37"/>
    </row>
    <row r="292" spans="3:9">
      <c r="C292" s="122"/>
      <c r="E292" s="2"/>
      <c r="F292" s="2"/>
      <c r="H292" s="2"/>
      <c r="I292" s="37"/>
    </row>
    <row r="293" spans="3:9">
      <c r="C293" s="122"/>
      <c r="E293" s="2"/>
      <c r="F293" s="2"/>
      <c r="H293" s="2"/>
      <c r="I293" s="37"/>
    </row>
    <row r="294" spans="3:9">
      <c r="C294" s="122"/>
      <c r="E294" s="2"/>
      <c r="F294" s="2"/>
      <c r="H294" s="2"/>
      <c r="I294" s="37"/>
    </row>
    <row r="295" spans="3:9">
      <c r="C295" s="122"/>
      <c r="E295" s="2"/>
      <c r="F295" s="2"/>
      <c r="H295" s="2"/>
      <c r="I295" s="37"/>
    </row>
    <row r="296" spans="3:9">
      <c r="C296" s="122"/>
      <c r="E296" s="2"/>
      <c r="F296" s="2"/>
      <c r="H296" s="2"/>
      <c r="I296" s="37"/>
    </row>
    <row r="297" spans="3:9">
      <c r="C297" s="122"/>
      <c r="E297" s="2"/>
      <c r="F297" s="2"/>
      <c r="H297" s="2"/>
      <c r="I297" s="37"/>
    </row>
    <row r="298" spans="3:9">
      <c r="C298" s="122"/>
      <c r="E298" s="2"/>
      <c r="F298" s="2"/>
      <c r="H298" s="2"/>
      <c r="I298" s="37"/>
    </row>
    <row r="299" spans="3:9">
      <c r="C299" s="122"/>
      <c r="E299" s="2"/>
      <c r="F299" s="2"/>
      <c r="H299" s="2"/>
      <c r="I299" s="37"/>
    </row>
    <row r="300" spans="3:9">
      <c r="C300" s="122"/>
      <c r="E300" s="2"/>
      <c r="F300" s="2"/>
      <c r="H300" s="2"/>
      <c r="I300" s="37"/>
    </row>
    <row r="301" spans="3:9">
      <c r="C301" s="122"/>
      <c r="E301" s="2"/>
      <c r="F301" s="2"/>
      <c r="H301" s="2"/>
      <c r="I301" s="37"/>
    </row>
    <row r="302" spans="3:9">
      <c r="C302" s="122"/>
      <c r="E302" s="2"/>
      <c r="F302" s="2"/>
      <c r="H302" s="2"/>
      <c r="I302" s="37"/>
    </row>
    <row r="303" spans="3:9">
      <c r="C303" s="122"/>
      <c r="E303" s="2"/>
      <c r="F303" s="2"/>
      <c r="H303" s="2"/>
      <c r="I303" s="37"/>
    </row>
    <row r="304" spans="3:9">
      <c r="C304" s="122"/>
      <c r="E304" s="2"/>
      <c r="F304" s="2"/>
      <c r="H304" s="2"/>
      <c r="I304" s="37"/>
    </row>
    <row r="305" spans="3:9">
      <c r="C305" s="122"/>
      <c r="E305" s="2"/>
      <c r="F305" s="2"/>
      <c r="H305" s="2"/>
      <c r="I305" s="37"/>
    </row>
    <row r="306" spans="3:9">
      <c r="C306" s="122"/>
      <c r="E306" s="2"/>
      <c r="F306" s="2"/>
      <c r="H306" s="2"/>
      <c r="I306" s="37"/>
    </row>
    <row r="307" spans="3:9">
      <c r="C307" s="122"/>
      <c r="E307" s="2"/>
      <c r="F307" s="2"/>
      <c r="H307" s="2"/>
      <c r="I307" s="37"/>
    </row>
    <row r="308" spans="3:9">
      <c r="C308" s="122"/>
      <c r="E308" s="2"/>
      <c r="F308" s="2"/>
      <c r="H308" s="2"/>
      <c r="I308" s="37"/>
    </row>
    <row r="309" spans="3:9">
      <c r="C309" s="122"/>
      <c r="E309" s="2"/>
      <c r="F309" s="2"/>
      <c r="H309" s="2"/>
      <c r="I309" s="37"/>
    </row>
    <row r="310" spans="3:9">
      <c r="C310" s="122"/>
      <c r="E310" s="2"/>
      <c r="F310" s="2"/>
      <c r="H310" s="2"/>
      <c r="I310" s="37"/>
    </row>
    <row r="311" spans="3:9">
      <c r="C311" s="122"/>
      <c r="E311" s="2"/>
      <c r="F311" s="2"/>
      <c r="H311" s="2"/>
      <c r="I311" s="37"/>
    </row>
    <row r="312" spans="3:9">
      <c r="C312" s="122"/>
      <c r="E312" s="2"/>
      <c r="F312" s="2"/>
      <c r="H312" s="2"/>
      <c r="I312" s="37"/>
    </row>
    <row r="313" spans="3:9">
      <c r="C313" s="122"/>
      <c r="E313" s="2"/>
      <c r="F313" s="2"/>
      <c r="H313" s="2"/>
      <c r="I313" s="37"/>
    </row>
    <row r="314" spans="3:9">
      <c r="C314" s="122"/>
      <c r="E314" s="2"/>
      <c r="F314" s="2"/>
      <c r="H314" s="2"/>
      <c r="I314" s="37"/>
    </row>
    <row r="315" spans="3:9">
      <c r="C315" s="122"/>
      <c r="E315" s="2"/>
      <c r="F315" s="2"/>
      <c r="H315" s="2"/>
      <c r="I315" s="37"/>
    </row>
    <row r="316" spans="3:9">
      <c r="C316" s="122"/>
      <c r="E316" s="2"/>
      <c r="F316" s="2"/>
      <c r="H316" s="2"/>
      <c r="I316" s="37"/>
    </row>
    <row r="317" spans="3:9">
      <c r="C317" s="122"/>
      <c r="E317" s="2"/>
      <c r="F317" s="2"/>
      <c r="H317" s="2"/>
      <c r="I317" s="37"/>
    </row>
    <row r="318" spans="3:9">
      <c r="C318" s="122"/>
      <c r="E318" s="2"/>
      <c r="F318" s="2"/>
      <c r="H318" s="2"/>
      <c r="I318" s="37"/>
    </row>
    <row r="319" spans="3:9">
      <c r="C319" s="122"/>
      <c r="E319" s="2"/>
      <c r="F319" s="2"/>
      <c r="H319" s="2"/>
      <c r="I319" s="37"/>
    </row>
    <row r="320" spans="3:9">
      <c r="C320" s="122"/>
      <c r="E320" s="2"/>
      <c r="F320" s="2"/>
      <c r="H320" s="2"/>
      <c r="I320" s="37"/>
    </row>
    <row r="321" spans="3:9">
      <c r="C321" s="122"/>
      <c r="E321" s="2"/>
      <c r="F321" s="2"/>
      <c r="H321" s="2"/>
      <c r="I321" s="37"/>
    </row>
    <row r="322" spans="3:9">
      <c r="C322" s="122"/>
      <c r="E322" s="2"/>
      <c r="F322" s="2"/>
      <c r="H322" s="2"/>
      <c r="I322" s="37"/>
    </row>
    <row r="323" spans="3:9">
      <c r="C323" s="122"/>
      <c r="E323" s="2"/>
      <c r="F323" s="2"/>
      <c r="H323" s="2"/>
      <c r="I323" s="37"/>
    </row>
    <row r="324" spans="3:9">
      <c r="C324" s="122"/>
      <c r="E324" s="2"/>
      <c r="F324" s="2"/>
      <c r="H324" s="2"/>
      <c r="I324" s="37"/>
    </row>
    <row r="325" spans="3:9">
      <c r="C325" s="122"/>
      <c r="E325" s="2"/>
      <c r="F325" s="2"/>
      <c r="H325" s="2"/>
      <c r="I325" s="37"/>
    </row>
    <row r="326" spans="3:9">
      <c r="C326" s="122"/>
      <c r="E326" s="2"/>
      <c r="F326" s="2"/>
      <c r="H326" s="2"/>
      <c r="I326" s="37"/>
    </row>
    <row r="327" spans="3:9">
      <c r="C327" s="122"/>
      <c r="E327" s="2"/>
      <c r="F327" s="2"/>
      <c r="H327" s="2"/>
      <c r="I327" s="37"/>
    </row>
    <row r="328" spans="3:9">
      <c r="C328" s="122"/>
      <c r="E328" s="2"/>
      <c r="F328" s="2"/>
      <c r="H328" s="2"/>
      <c r="I328" s="37"/>
    </row>
    <row r="329" spans="3:9">
      <c r="C329" s="122"/>
      <c r="E329" s="2"/>
      <c r="F329" s="2"/>
      <c r="H329" s="2"/>
      <c r="I329" s="37"/>
    </row>
    <row r="330" spans="3:9">
      <c r="C330" s="122"/>
      <c r="E330" s="2"/>
      <c r="F330" s="2"/>
      <c r="H330" s="2"/>
      <c r="I330" s="37"/>
    </row>
    <row r="331" spans="3:9">
      <c r="C331" s="122"/>
      <c r="E331" s="2"/>
      <c r="F331" s="2"/>
      <c r="H331" s="2"/>
      <c r="I331" s="37"/>
    </row>
    <row r="332" spans="3:9">
      <c r="C332" s="122"/>
      <c r="E332" s="2"/>
      <c r="F332" s="2"/>
      <c r="H332" s="2"/>
      <c r="I332" s="37"/>
    </row>
    <row r="333" spans="3:9">
      <c r="C333" s="122"/>
      <c r="E333" s="2"/>
      <c r="F333" s="2"/>
      <c r="H333" s="2"/>
      <c r="I333" s="37"/>
    </row>
    <row r="334" spans="3:9">
      <c r="C334" s="122"/>
      <c r="E334" s="2"/>
      <c r="F334" s="2"/>
      <c r="H334" s="2"/>
      <c r="I334" s="37"/>
    </row>
    <row r="335" spans="3:9">
      <c r="C335" s="122"/>
      <c r="E335" s="2"/>
      <c r="F335" s="2"/>
      <c r="H335" s="2"/>
      <c r="I335" s="37"/>
    </row>
    <row r="336" spans="3:9">
      <c r="C336" s="122"/>
      <c r="E336" s="2"/>
      <c r="F336" s="2"/>
      <c r="H336" s="2"/>
      <c r="I336" s="37"/>
    </row>
    <row r="337" spans="3:9">
      <c r="C337" s="122"/>
      <c r="E337" s="2"/>
      <c r="F337" s="2"/>
      <c r="H337" s="2"/>
      <c r="I337" s="37"/>
    </row>
    <row r="338" spans="3:9">
      <c r="C338" s="122"/>
      <c r="E338" s="2"/>
      <c r="F338" s="2"/>
      <c r="H338" s="2"/>
      <c r="I338" s="37"/>
    </row>
    <row r="339" spans="3:9">
      <c r="C339" s="122"/>
      <c r="E339" s="2"/>
      <c r="F339" s="2"/>
      <c r="H339" s="2"/>
      <c r="I339" s="37"/>
    </row>
    <row r="340" spans="3:9">
      <c r="C340" s="122"/>
      <c r="E340" s="2"/>
      <c r="F340" s="2"/>
      <c r="H340" s="2"/>
      <c r="I340" s="37"/>
    </row>
    <row r="341" spans="3:9">
      <c r="C341" s="122"/>
      <c r="E341" s="2"/>
      <c r="F341" s="2"/>
      <c r="H341" s="2"/>
      <c r="I341" s="37"/>
    </row>
    <row r="342" spans="3:9">
      <c r="C342" s="122"/>
      <c r="E342" s="2"/>
      <c r="F342" s="2"/>
      <c r="H342" s="2"/>
      <c r="I342" s="37"/>
    </row>
    <row r="343" spans="3:9">
      <c r="C343" s="122"/>
      <c r="E343" s="2"/>
      <c r="F343" s="2"/>
      <c r="H343" s="2"/>
      <c r="I343" s="37"/>
    </row>
    <row r="344" spans="3:9">
      <c r="C344" s="122"/>
      <c r="E344" s="2"/>
      <c r="F344" s="2"/>
      <c r="H344" s="2"/>
      <c r="I344" s="37"/>
    </row>
    <row r="345" spans="3:9">
      <c r="C345" s="122"/>
      <c r="E345" s="2"/>
      <c r="F345" s="2"/>
      <c r="H345" s="2"/>
      <c r="I345" s="37"/>
    </row>
    <row r="346" spans="3:9">
      <c r="C346" s="122"/>
      <c r="E346" s="2"/>
      <c r="F346" s="2"/>
      <c r="H346" s="2"/>
      <c r="I346" s="37"/>
    </row>
    <row r="347" spans="3:9">
      <c r="C347" s="122"/>
      <c r="E347" s="2"/>
      <c r="F347" s="2"/>
      <c r="H347" s="2"/>
      <c r="I347" s="37"/>
    </row>
    <row r="348" spans="3:9">
      <c r="C348" s="122"/>
      <c r="E348" s="2"/>
      <c r="F348" s="2"/>
      <c r="H348" s="2"/>
      <c r="I348" s="37"/>
    </row>
    <row r="349" spans="3:9">
      <c r="C349" s="122"/>
      <c r="E349" s="2"/>
      <c r="F349" s="2"/>
      <c r="H349" s="2"/>
      <c r="I349" s="37"/>
    </row>
    <row r="350" spans="3:9">
      <c r="C350" s="122"/>
      <c r="E350" s="2"/>
      <c r="F350" s="2"/>
      <c r="H350" s="2"/>
      <c r="I350" s="37"/>
    </row>
    <row r="351" spans="3:9">
      <c r="C351" s="122"/>
      <c r="E351" s="2"/>
      <c r="F351" s="2"/>
      <c r="H351" s="2"/>
      <c r="I351" s="37"/>
    </row>
    <row r="352" spans="3:9">
      <c r="C352" s="122"/>
      <c r="E352" s="2"/>
      <c r="F352" s="2"/>
      <c r="H352" s="2"/>
      <c r="I352" s="37"/>
    </row>
    <row r="353" spans="3:9">
      <c r="C353" s="122"/>
      <c r="E353" s="2"/>
      <c r="F353" s="2"/>
      <c r="H353" s="2"/>
      <c r="I353" s="37"/>
    </row>
    <row r="354" spans="3:9">
      <c r="C354" s="122"/>
      <c r="E354" s="2"/>
      <c r="F354" s="2"/>
      <c r="H354" s="2"/>
      <c r="I354" s="37"/>
    </row>
    <row r="355" spans="3:9">
      <c r="C355" s="122"/>
      <c r="E355" s="2"/>
      <c r="F355" s="2"/>
      <c r="H355" s="2"/>
      <c r="I355" s="37"/>
    </row>
    <row r="356" spans="3:9">
      <c r="C356" s="122"/>
      <c r="E356" s="2"/>
      <c r="F356" s="2"/>
      <c r="H356" s="2"/>
      <c r="I356" s="37"/>
    </row>
    <row r="357" spans="3:9">
      <c r="C357" s="122"/>
      <c r="E357" s="2"/>
      <c r="F357" s="2"/>
      <c r="H357" s="2"/>
      <c r="I357" s="37"/>
    </row>
    <row r="358" spans="3:9">
      <c r="C358" s="122"/>
      <c r="E358" s="2"/>
      <c r="F358" s="2"/>
      <c r="H358" s="2"/>
      <c r="I358" s="37"/>
    </row>
    <row r="359" spans="3:9">
      <c r="C359" s="122"/>
      <c r="E359" s="2"/>
      <c r="F359" s="2"/>
      <c r="H359" s="2"/>
      <c r="I359" s="37"/>
    </row>
    <row r="360" spans="3:9">
      <c r="C360" s="122"/>
      <c r="E360" s="2"/>
      <c r="F360" s="2"/>
      <c r="H360" s="2"/>
      <c r="I360" s="37"/>
    </row>
    <row r="361" spans="3:9">
      <c r="C361" s="122"/>
      <c r="E361" s="2"/>
      <c r="F361" s="2"/>
      <c r="H361" s="2"/>
      <c r="I361" s="37"/>
    </row>
    <row r="362" spans="3:9">
      <c r="C362" s="122"/>
      <c r="E362" s="2"/>
      <c r="F362" s="2"/>
      <c r="H362" s="2"/>
      <c r="I362" s="37"/>
    </row>
    <row r="363" spans="3:9">
      <c r="C363" s="122"/>
      <c r="E363" s="2"/>
      <c r="F363" s="2"/>
      <c r="H363" s="2"/>
      <c r="I363" s="37"/>
    </row>
    <row r="364" spans="3:9">
      <c r="C364" s="122"/>
      <c r="E364" s="2"/>
      <c r="F364" s="2"/>
      <c r="H364" s="2"/>
      <c r="I364" s="37"/>
    </row>
    <row r="365" spans="3:9">
      <c r="C365" s="122"/>
      <c r="E365" s="2"/>
      <c r="F365" s="2"/>
      <c r="H365" s="2"/>
      <c r="I365" s="37"/>
    </row>
    <row r="366" spans="3:9">
      <c r="C366" s="122"/>
      <c r="E366" s="2"/>
      <c r="F366" s="2"/>
      <c r="H366" s="2"/>
      <c r="I366" s="37"/>
    </row>
    <row r="367" spans="3:9">
      <c r="C367" s="122"/>
      <c r="E367" s="2"/>
      <c r="F367" s="2"/>
      <c r="H367" s="2"/>
      <c r="I367" s="37"/>
    </row>
    <row r="368" spans="3:9">
      <c r="C368" s="122"/>
      <c r="E368" s="2"/>
      <c r="F368" s="2"/>
      <c r="H368" s="2"/>
      <c r="I368" s="37"/>
    </row>
    <row r="369" spans="3:9">
      <c r="C369" s="122"/>
      <c r="E369" s="2"/>
      <c r="F369" s="2"/>
      <c r="H369" s="2"/>
      <c r="I369" s="37"/>
    </row>
    <row r="370" spans="3:9">
      <c r="C370" s="122"/>
      <c r="E370" s="2"/>
      <c r="F370" s="2"/>
      <c r="H370" s="2"/>
      <c r="I370" s="37"/>
    </row>
    <row r="371" spans="3:9">
      <c r="C371" s="122"/>
      <c r="E371" s="2"/>
      <c r="F371" s="2"/>
      <c r="H371" s="2"/>
      <c r="I371" s="37"/>
    </row>
    <row r="372" spans="3:9">
      <c r="C372" s="122"/>
      <c r="E372" s="2"/>
      <c r="F372" s="2"/>
      <c r="H372" s="2"/>
      <c r="I372" s="37"/>
    </row>
    <row r="373" spans="3:9">
      <c r="C373" s="122"/>
      <c r="E373" s="2"/>
      <c r="F373" s="2"/>
      <c r="H373" s="2"/>
      <c r="I373" s="37"/>
    </row>
    <row r="374" spans="3:9">
      <c r="C374" s="122"/>
      <c r="E374" s="2"/>
      <c r="F374" s="2"/>
      <c r="H374" s="2"/>
      <c r="I374" s="37"/>
    </row>
    <row r="375" spans="3:9">
      <c r="C375" s="122"/>
      <c r="E375" s="2"/>
      <c r="F375" s="2"/>
      <c r="H375" s="2"/>
      <c r="I375" s="37"/>
    </row>
    <row r="376" spans="3:9">
      <c r="C376" s="122"/>
      <c r="E376" s="2"/>
      <c r="F376" s="2"/>
      <c r="H376" s="2"/>
      <c r="I376" s="37"/>
    </row>
    <row r="377" spans="3:9">
      <c r="C377" s="122"/>
      <c r="E377" s="2"/>
      <c r="F377" s="2"/>
      <c r="H377" s="2"/>
      <c r="I377" s="37"/>
    </row>
    <row r="378" spans="3:9">
      <c r="C378" s="122"/>
      <c r="E378" s="2"/>
      <c r="F378" s="2"/>
      <c r="H378" s="2"/>
      <c r="I378" s="37"/>
    </row>
    <row r="379" spans="3:9">
      <c r="C379" s="122"/>
      <c r="E379" s="2"/>
      <c r="F379" s="2"/>
      <c r="H379" s="2"/>
      <c r="I379" s="37"/>
    </row>
    <row r="380" spans="3:9">
      <c r="C380" s="122"/>
      <c r="E380" s="2"/>
      <c r="F380" s="2"/>
      <c r="H380" s="2"/>
      <c r="I380" s="37"/>
    </row>
    <row r="381" spans="3:9">
      <c r="C381" s="122"/>
      <c r="E381" s="2"/>
      <c r="F381" s="2"/>
      <c r="H381" s="2"/>
      <c r="I381" s="37"/>
    </row>
    <row r="382" spans="3:9">
      <c r="C382" s="122"/>
      <c r="E382" s="2"/>
      <c r="F382" s="2"/>
      <c r="H382" s="2"/>
      <c r="I382" s="37"/>
    </row>
    <row r="383" spans="3:9">
      <c r="C383" s="122"/>
      <c r="E383" s="2"/>
      <c r="F383" s="2"/>
      <c r="H383" s="2"/>
      <c r="I383" s="37"/>
    </row>
    <row r="384" spans="3:9">
      <c r="C384" s="122"/>
      <c r="E384" s="2"/>
      <c r="F384" s="2"/>
      <c r="H384" s="2"/>
      <c r="I384" s="37"/>
    </row>
    <row r="385" spans="3:9">
      <c r="C385" s="122"/>
      <c r="E385" s="2"/>
      <c r="F385" s="2"/>
      <c r="H385" s="2"/>
      <c r="I385" s="37"/>
    </row>
    <row r="386" spans="3:9">
      <c r="C386" s="122"/>
      <c r="E386" s="2"/>
      <c r="F386" s="2"/>
      <c r="H386" s="2"/>
      <c r="I386" s="37"/>
    </row>
    <row r="387" spans="3:9">
      <c r="C387" s="122"/>
      <c r="E387" s="2"/>
      <c r="F387" s="2"/>
      <c r="H387" s="2"/>
      <c r="I387" s="37"/>
    </row>
    <row r="388" spans="3:9">
      <c r="C388" s="122"/>
      <c r="E388" s="2"/>
      <c r="F388" s="2"/>
      <c r="H388" s="2"/>
      <c r="I388" s="37"/>
    </row>
    <row r="389" spans="3:9">
      <c r="C389" s="122"/>
      <c r="E389" s="2"/>
      <c r="F389" s="2"/>
      <c r="H389" s="2"/>
      <c r="I389" s="37"/>
    </row>
    <row r="390" spans="3:9">
      <c r="C390" s="122"/>
      <c r="E390" s="2"/>
      <c r="F390" s="2"/>
      <c r="H390" s="2"/>
      <c r="I390" s="37"/>
    </row>
    <row r="391" spans="3:9">
      <c r="C391" s="122"/>
      <c r="E391" s="2"/>
      <c r="F391" s="2"/>
      <c r="H391" s="2"/>
      <c r="I391" s="37"/>
    </row>
    <row r="392" spans="3:9">
      <c r="C392" s="122"/>
      <c r="E392" s="2"/>
      <c r="F392" s="2"/>
      <c r="H392" s="2"/>
      <c r="I392" s="37"/>
    </row>
    <row r="393" spans="3:9">
      <c r="C393" s="122"/>
      <c r="E393" s="2"/>
      <c r="F393" s="2"/>
      <c r="H393" s="2"/>
      <c r="I393" s="37"/>
    </row>
    <row r="394" spans="3:9">
      <c r="C394" s="122"/>
      <c r="E394" s="2"/>
      <c r="F394" s="2"/>
      <c r="H394" s="2"/>
      <c r="I394" s="37"/>
    </row>
    <row r="395" spans="3:9">
      <c r="C395" s="122"/>
      <c r="E395" s="2"/>
      <c r="F395" s="2"/>
      <c r="H395" s="2"/>
      <c r="I395" s="37"/>
    </row>
    <row r="396" spans="3:9">
      <c r="C396" s="122"/>
      <c r="E396" s="2"/>
      <c r="F396" s="2"/>
      <c r="H396" s="2"/>
      <c r="I396" s="37"/>
    </row>
    <row r="397" spans="3:9">
      <c r="C397" s="122"/>
      <c r="E397" s="2"/>
      <c r="F397" s="2"/>
      <c r="H397" s="2"/>
      <c r="I397" s="37"/>
    </row>
    <row r="398" spans="3:9">
      <c r="C398" s="122"/>
      <c r="E398" s="2"/>
      <c r="F398" s="2"/>
      <c r="H398" s="2"/>
      <c r="I398" s="37"/>
    </row>
    <row r="399" spans="3:9">
      <c r="C399" s="122"/>
      <c r="E399" s="2"/>
      <c r="F399" s="2"/>
      <c r="H399" s="2"/>
      <c r="I399" s="37"/>
    </row>
    <row r="400" spans="3:9">
      <c r="C400" s="122"/>
      <c r="E400" s="2"/>
      <c r="F400" s="2"/>
      <c r="H400" s="2"/>
      <c r="I400" s="37"/>
    </row>
    <row r="401" spans="3:9">
      <c r="C401" s="122"/>
      <c r="E401" s="2"/>
      <c r="F401" s="2"/>
      <c r="H401" s="2"/>
      <c r="I401" s="37"/>
    </row>
    <row r="402" spans="3:9">
      <c r="C402" s="122"/>
      <c r="E402" s="2"/>
      <c r="F402" s="2"/>
      <c r="H402" s="2"/>
      <c r="I402" s="37"/>
    </row>
    <row r="403" spans="3:9">
      <c r="C403" s="122"/>
      <c r="E403" s="2"/>
      <c r="F403" s="2"/>
      <c r="H403" s="2"/>
      <c r="I403" s="37"/>
    </row>
    <row r="404" spans="3:9">
      <c r="C404" s="122"/>
      <c r="E404" s="2"/>
      <c r="F404" s="2"/>
      <c r="H404" s="2"/>
      <c r="I404" s="37"/>
    </row>
    <row r="405" spans="3:9">
      <c r="C405" s="122"/>
      <c r="E405" s="2"/>
      <c r="F405" s="2"/>
      <c r="H405" s="2"/>
      <c r="I405" s="37"/>
    </row>
    <row r="406" spans="3:9">
      <c r="C406" s="122"/>
      <c r="E406" s="2"/>
      <c r="F406" s="2"/>
      <c r="H406" s="2"/>
      <c r="I406" s="37"/>
    </row>
    <row r="407" spans="3:9">
      <c r="C407" s="122"/>
      <c r="E407" s="2"/>
      <c r="F407" s="2"/>
      <c r="H407" s="2"/>
      <c r="I407" s="37"/>
    </row>
    <row r="408" spans="3:9">
      <c r="C408" s="122"/>
      <c r="E408" s="2"/>
      <c r="F408" s="2"/>
      <c r="H408" s="2"/>
      <c r="I408" s="37"/>
    </row>
    <row r="409" spans="3:9">
      <c r="C409" s="122"/>
      <c r="E409" s="2"/>
      <c r="F409" s="2"/>
      <c r="H409" s="2"/>
      <c r="I409" s="37"/>
    </row>
    <row r="410" spans="3:9">
      <c r="C410" s="122"/>
      <c r="E410" s="2"/>
      <c r="F410" s="2"/>
      <c r="H410" s="2"/>
      <c r="I410" s="37"/>
    </row>
    <row r="411" spans="3:9">
      <c r="C411" s="122"/>
      <c r="E411" s="2"/>
      <c r="F411" s="2"/>
      <c r="H411" s="2"/>
      <c r="I411" s="37"/>
    </row>
    <row r="412" spans="3:9">
      <c r="C412" s="122"/>
      <c r="E412" s="2"/>
      <c r="F412" s="2"/>
      <c r="H412" s="2"/>
      <c r="I412" s="37"/>
    </row>
    <row r="413" spans="3:9">
      <c r="C413" s="122"/>
      <c r="E413" s="2"/>
      <c r="F413" s="2"/>
      <c r="H413" s="2"/>
      <c r="I413" s="37"/>
    </row>
    <row r="414" spans="3:9">
      <c r="C414" s="122"/>
      <c r="E414" s="2"/>
      <c r="F414" s="2"/>
      <c r="H414" s="2"/>
      <c r="I414" s="37"/>
    </row>
    <row r="415" spans="3:9">
      <c r="C415" s="122"/>
      <c r="E415" s="2"/>
      <c r="F415" s="2"/>
      <c r="H415" s="2"/>
      <c r="I415" s="37"/>
    </row>
    <row r="416" spans="3:9">
      <c r="C416" s="122"/>
      <c r="E416" s="2"/>
      <c r="F416" s="2"/>
      <c r="H416" s="2"/>
      <c r="I416" s="37"/>
    </row>
    <row r="417" spans="3:9">
      <c r="C417" s="122"/>
      <c r="E417" s="2"/>
      <c r="F417" s="2"/>
      <c r="H417" s="2"/>
      <c r="I417" s="37"/>
    </row>
    <row r="418" spans="3:9">
      <c r="C418" s="122"/>
      <c r="E418" s="2"/>
      <c r="F418" s="2"/>
      <c r="H418" s="2"/>
      <c r="I418" s="37"/>
    </row>
    <row r="419" spans="3:9">
      <c r="C419" s="122"/>
      <c r="E419" s="2"/>
      <c r="F419" s="2"/>
      <c r="H419" s="2"/>
      <c r="I419" s="37"/>
    </row>
    <row r="420" spans="3:9">
      <c r="C420" s="122"/>
      <c r="E420" s="2"/>
      <c r="F420" s="2"/>
      <c r="H420" s="2"/>
      <c r="I420" s="37"/>
    </row>
    <row r="421" spans="3:9">
      <c r="C421" s="122"/>
      <c r="E421" s="2"/>
      <c r="F421" s="2"/>
      <c r="H421" s="2"/>
      <c r="I421" s="37"/>
    </row>
    <row r="422" spans="3:9">
      <c r="C422" s="122"/>
      <c r="E422" s="2"/>
      <c r="F422" s="2"/>
      <c r="H422" s="2"/>
      <c r="I422" s="37"/>
    </row>
    <row r="423" spans="3:9">
      <c r="C423" s="122"/>
      <c r="E423" s="2"/>
      <c r="F423" s="2"/>
      <c r="H423" s="2"/>
      <c r="I423" s="37"/>
    </row>
    <row r="424" spans="3:9">
      <c r="C424" s="122"/>
      <c r="E424" s="2"/>
      <c r="F424" s="2"/>
      <c r="H424" s="2"/>
      <c r="I424" s="37"/>
    </row>
    <row r="425" spans="3:9">
      <c r="C425" s="122"/>
      <c r="E425" s="2"/>
      <c r="F425" s="2"/>
      <c r="H425" s="2"/>
      <c r="I425" s="37"/>
    </row>
    <row r="426" spans="3:9">
      <c r="C426" s="122"/>
      <c r="E426" s="2"/>
      <c r="F426" s="2"/>
      <c r="H426" s="2"/>
      <c r="I426" s="37"/>
    </row>
    <row r="427" spans="3:9">
      <c r="C427" s="122"/>
      <c r="E427" s="2"/>
      <c r="F427" s="2"/>
      <c r="H427" s="2"/>
      <c r="I427" s="37"/>
    </row>
    <row r="428" spans="3:9">
      <c r="C428" s="122"/>
      <c r="E428" s="2"/>
      <c r="F428" s="2"/>
      <c r="H428" s="2"/>
      <c r="I428" s="37"/>
    </row>
    <row r="429" spans="3:9">
      <c r="C429" s="122"/>
      <c r="E429" s="2"/>
      <c r="F429" s="2"/>
      <c r="H429" s="2"/>
      <c r="I429" s="37"/>
    </row>
    <row r="430" spans="3:9">
      <c r="C430" s="122"/>
      <c r="E430" s="2"/>
      <c r="F430" s="2"/>
      <c r="H430" s="2"/>
      <c r="I430" s="37"/>
    </row>
    <row r="431" spans="3:9">
      <c r="C431" s="122"/>
      <c r="E431" s="2"/>
      <c r="F431" s="2"/>
      <c r="H431" s="2"/>
      <c r="I431" s="37"/>
    </row>
    <row r="432" spans="3:9">
      <c r="C432" s="122"/>
      <c r="E432" s="2"/>
      <c r="F432" s="2"/>
      <c r="H432" s="2"/>
      <c r="I432" s="37"/>
    </row>
    <row r="433" spans="3:9">
      <c r="C433" s="122"/>
      <c r="E433" s="2"/>
      <c r="F433" s="2"/>
      <c r="H433" s="2"/>
      <c r="I433" s="37"/>
    </row>
    <row r="434" spans="3:9">
      <c r="C434" s="122"/>
      <c r="E434" s="2"/>
      <c r="F434" s="2"/>
      <c r="H434" s="2"/>
      <c r="I434" s="37"/>
    </row>
    <row r="435" spans="3:9">
      <c r="C435" s="122"/>
      <c r="E435" s="2"/>
      <c r="F435" s="2"/>
      <c r="H435" s="2"/>
      <c r="I435" s="37"/>
    </row>
    <row r="436" spans="3:9">
      <c r="C436" s="122"/>
      <c r="E436" s="2"/>
      <c r="F436" s="2"/>
      <c r="H436" s="2"/>
      <c r="I436" s="37"/>
    </row>
    <row r="437" spans="3:9">
      <c r="C437" s="122"/>
      <c r="E437" s="2"/>
      <c r="F437" s="2"/>
      <c r="H437" s="2"/>
      <c r="I437" s="37"/>
    </row>
    <row r="438" spans="3:9">
      <c r="C438" s="122"/>
      <c r="E438" s="2"/>
      <c r="F438" s="2"/>
      <c r="H438" s="2"/>
      <c r="I438" s="37"/>
    </row>
    <row r="439" spans="3:9">
      <c r="C439" s="122"/>
      <c r="E439" s="2"/>
      <c r="F439" s="2"/>
      <c r="H439" s="2"/>
      <c r="I439" s="37"/>
    </row>
    <row r="440" spans="3:9">
      <c r="C440" s="122"/>
      <c r="E440" s="2"/>
      <c r="F440" s="2"/>
      <c r="H440" s="2"/>
      <c r="I440" s="37"/>
    </row>
    <row r="441" spans="3:9">
      <c r="C441" s="122"/>
      <c r="E441" s="2"/>
      <c r="F441" s="2"/>
      <c r="H441" s="2"/>
      <c r="I441" s="37"/>
    </row>
    <row r="442" spans="3:9">
      <c r="C442" s="122"/>
      <c r="E442" s="2"/>
      <c r="F442" s="2"/>
      <c r="H442" s="2"/>
      <c r="I442" s="37"/>
    </row>
    <row r="443" spans="3:9">
      <c r="C443" s="122"/>
      <c r="E443" s="2"/>
      <c r="F443" s="2"/>
      <c r="H443" s="2"/>
      <c r="I443" s="37"/>
    </row>
    <row r="444" spans="3:9">
      <c r="C444" s="122"/>
      <c r="E444" s="2"/>
      <c r="F444" s="2"/>
      <c r="H444" s="2"/>
      <c r="I444" s="37"/>
    </row>
    <row r="445" spans="3:9">
      <c r="C445" s="122"/>
      <c r="E445" s="2"/>
      <c r="F445" s="2"/>
      <c r="H445" s="2"/>
      <c r="I445" s="37"/>
    </row>
    <row r="446" spans="3:9">
      <c r="C446" s="122"/>
      <c r="E446" s="2"/>
      <c r="F446" s="2"/>
      <c r="H446" s="2"/>
      <c r="I446" s="37"/>
    </row>
    <row r="447" spans="3:9">
      <c r="C447" s="122"/>
      <c r="E447" s="2"/>
      <c r="F447" s="2"/>
      <c r="H447" s="2"/>
      <c r="I447" s="37"/>
    </row>
    <row r="448" spans="3:9">
      <c r="C448" s="122"/>
      <c r="E448" s="2"/>
      <c r="F448" s="2"/>
      <c r="H448" s="2"/>
      <c r="I448" s="37"/>
    </row>
    <row r="449" spans="3:9">
      <c r="C449" s="122"/>
      <c r="E449" s="2"/>
      <c r="F449" s="2"/>
      <c r="H449" s="2"/>
      <c r="I449" s="37"/>
    </row>
    <row r="450" spans="3:9">
      <c r="C450" s="122"/>
      <c r="E450" s="2"/>
      <c r="F450" s="2"/>
      <c r="H450" s="2"/>
      <c r="I450" s="37"/>
    </row>
    <row r="451" spans="3:9">
      <c r="C451" s="122"/>
      <c r="E451" s="2"/>
      <c r="F451" s="2"/>
      <c r="H451" s="2"/>
      <c r="I451" s="37"/>
    </row>
    <row r="452" spans="3:9">
      <c r="C452" s="122"/>
      <c r="E452" s="2"/>
      <c r="F452" s="2"/>
      <c r="H452" s="2"/>
      <c r="I452" s="37"/>
    </row>
    <row r="453" spans="3:9">
      <c r="C453" s="122"/>
      <c r="E453" s="2"/>
      <c r="F453" s="2"/>
      <c r="H453" s="2"/>
      <c r="I453" s="37"/>
    </row>
    <row r="454" spans="3:9">
      <c r="C454" s="122"/>
      <c r="E454" s="2"/>
      <c r="F454" s="2"/>
      <c r="H454" s="2"/>
      <c r="I454" s="37"/>
    </row>
    <row r="455" spans="3:9">
      <c r="C455" s="122"/>
      <c r="E455" s="2"/>
      <c r="F455" s="2"/>
      <c r="H455" s="2"/>
      <c r="I455" s="37"/>
    </row>
    <row r="456" spans="3:9">
      <c r="C456" s="122"/>
      <c r="E456" s="2"/>
      <c r="F456" s="2"/>
      <c r="H456" s="2"/>
      <c r="I456" s="37"/>
    </row>
    <row r="457" spans="3:9">
      <c r="C457" s="122"/>
      <c r="E457" s="2"/>
      <c r="F457" s="2"/>
      <c r="H457" s="2"/>
      <c r="I457" s="37"/>
    </row>
    <row r="458" spans="3:9">
      <c r="C458" s="122"/>
      <c r="E458" s="2"/>
      <c r="F458" s="2"/>
      <c r="H458" s="2"/>
      <c r="I458" s="37"/>
    </row>
    <row r="459" spans="3:9">
      <c r="C459" s="122"/>
      <c r="E459" s="2"/>
      <c r="F459" s="2"/>
      <c r="H459" s="2"/>
      <c r="I459" s="37"/>
    </row>
    <row r="460" spans="3:9">
      <c r="C460" s="122"/>
      <c r="E460" s="2"/>
      <c r="F460" s="2"/>
      <c r="H460" s="2"/>
      <c r="I460" s="37"/>
    </row>
    <row r="461" spans="3:9">
      <c r="C461" s="122"/>
      <c r="E461" s="2"/>
      <c r="F461" s="2"/>
      <c r="H461" s="2"/>
      <c r="I461" s="37"/>
    </row>
    <row r="462" spans="3:9">
      <c r="C462" s="122"/>
      <c r="E462" s="2"/>
      <c r="F462" s="2"/>
      <c r="H462" s="2"/>
      <c r="I462" s="37"/>
    </row>
    <row r="463" spans="3:9">
      <c r="C463" s="122"/>
      <c r="E463" s="2"/>
      <c r="F463" s="2"/>
      <c r="H463" s="2"/>
      <c r="I463" s="37"/>
    </row>
    <row r="464" spans="3:9">
      <c r="C464" s="122"/>
      <c r="E464" s="2"/>
      <c r="F464" s="2"/>
      <c r="H464" s="2"/>
      <c r="I464" s="37"/>
    </row>
    <row r="465" spans="3:9">
      <c r="C465" s="122"/>
      <c r="E465" s="2"/>
      <c r="F465" s="2"/>
      <c r="H465" s="2"/>
      <c r="I465" s="37"/>
    </row>
    <row r="466" spans="3:9">
      <c r="C466" s="122"/>
      <c r="E466" s="2"/>
      <c r="F466" s="2"/>
      <c r="H466" s="2"/>
      <c r="I466" s="37"/>
    </row>
    <row r="467" spans="3:9">
      <c r="C467" s="122"/>
      <c r="E467" s="2"/>
      <c r="F467" s="2"/>
      <c r="H467" s="2"/>
      <c r="I467" s="37"/>
    </row>
    <row r="468" spans="3:9">
      <c r="C468" s="122"/>
      <c r="E468" s="2"/>
      <c r="F468" s="2"/>
      <c r="H468" s="2"/>
      <c r="I468" s="37"/>
    </row>
    <row r="469" spans="3:9">
      <c r="C469" s="122"/>
      <c r="E469" s="2"/>
      <c r="F469" s="2"/>
      <c r="H469" s="2"/>
      <c r="I469" s="37"/>
    </row>
    <row r="470" spans="3:9">
      <c r="C470" s="122"/>
      <c r="E470" s="2"/>
      <c r="F470" s="2"/>
      <c r="H470" s="2"/>
      <c r="I470" s="37"/>
    </row>
    <row r="471" spans="3:9">
      <c r="C471" s="122"/>
      <c r="E471" s="2"/>
      <c r="F471" s="2"/>
      <c r="H471" s="2"/>
      <c r="I471" s="37"/>
    </row>
    <row r="472" spans="3:9">
      <c r="C472" s="122"/>
      <c r="E472" s="2"/>
      <c r="F472" s="2"/>
      <c r="H472" s="2"/>
      <c r="I472" s="37"/>
    </row>
    <row r="473" spans="3:9">
      <c r="C473" s="122"/>
      <c r="E473" s="2"/>
      <c r="F473" s="2"/>
      <c r="H473" s="2"/>
      <c r="I473" s="37"/>
    </row>
    <row r="474" spans="3:9">
      <c r="C474" s="122"/>
      <c r="E474" s="2"/>
      <c r="F474" s="2"/>
      <c r="H474" s="2"/>
      <c r="I474" s="37"/>
    </row>
    <row r="475" spans="3:9">
      <c r="C475" s="122"/>
      <c r="E475" s="2"/>
      <c r="F475" s="2"/>
      <c r="H475" s="2"/>
      <c r="I475" s="37"/>
    </row>
    <row r="476" spans="3:9">
      <c r="C476" s="122"/>
      <c r="E476" s="2"/>
      <c r="F476" s="2"/>
      <c r="H476" s="2"/>
      <c r="I476" s="37"/>
    </row>
    <row r="477" spans="3:9">
      <c r="C477" s="122"/>
      <c r="E477" s="2"/>
      <c r="F477" s="2"/>
      <c r="H477" s="2"/>
      <c r="I477" s="37"/>
    </row>
    <row r="478" spans="3:9">
      <c r="C478" s="122"/>
      <c r="E478" s="2"/>
      <c r="F478" s="2"/>
      <c r="H478" s="2"/>
      <c r="I478" s="37"/>
    </row>
    <row r="479" spans="3:9">
      <c r="C479" s="122"/>
      <c r="E479" s="2"/>
      <c r="F479" s="2"/>
      <c r="H479" s="2"/>
      <c r="I479" s="37"/>
    </row>
    <row r="480" spans="3:9">
      <c r="C480" s="122"/>
      <c r="E480" s="2"/>
      <c r="F480" s="2"/>
      <c r="H480" s="2"/>
      <c r="I480" s="37"/>
    </row>
    <row r="481" spans="3:9">
      <c r="C481" s="122"/>
      <c r="E481" s="2"/>
      <c r="F481" s="2"/>
      <c r="H481" s="2"/>
      <c r="I481" s="37"/>
    </row>
    <row r="482" spans="3:9">
      <c r="C482" s="122"/>
      <c r="E482" s="2"/>
      <c r="F482" s="2"/>
      <c r="H482" s="2"/>
      <c r="I482" s="37"/>
    </row>
    <row r="483" spans="3:9">
      <c r="C483" s="122"/>
      <c r="E483" s="2"/>
      <c r="F483" s="2"/>
      <c r="H483" s="2"/>
      <c r="I483" s="37"/>
    </row>
    <row r="484" spans="3:9">
      <c r="C484" s="122"/>
      <c r="E484" s="2"/>
      <c r="F484" s="2"/>
      <c r="H484" s="2"/>
      <c r="I484" s="37"/>
    </row>
    <row r="485" spans="3:9">
      <c r="C485" s="122"/>
      <c r="E485" s="2"/>
      <c r="F485" s="2"/>
      <c r="H485" s="2"/>
      <c r="I485" s="37"/>
    </row>
    <row r="486" spans="3:9">
      <c r="C486" s="122"/>
      <c r="E486" s="2"/>
      <c r="F486" s="2"/>
      <c r="H486" s="2"/>
      <c r="I486" s="37"/>
    </row>
    <row r="487" spans="3:9">
      <c r="C487" s="122"/>
      <c r="E487" s="2"/>
      <c r="F487" s="2"/>
      <c r="H487" s="2"/>
      <c r="I487" s="37"/>
    </row>
    <row r="488" spans="3:9">
      <c r="C488" s="122"/>
      <c r="E488" s="2"/>
      <c r="F488" s="2"/>
      <c r="H488" s="2"/>
      <c r="I488" s="37"/>
    </row>
    <row r="489" spans="3:9">
      <c r="C489" s="122"/>
      <c r="E489" s="2"/>
      <c r="F489" s="2"/>
      <c r="H489" s="2"/>
      <c r="I489" s="37"/>
    </row>
    <row r="490" spans="3:9">
      <c r="C490" s="122"/>
      <c r="E490" s="2"/>
      <c r="F490" s="2"/>
      <c r="H490" s="2"/>
      <c r="I490" s="37"/>
    </row>
    <row r="491" spans="3:9">
      <c r="C491" s="122"/>
      <c r="E491" s="2"/>
      <c r="F491" s="2"/>
      <c r="H491" s="2"/>
      <c r="I491" s="37"/>
    </row>
    <row r="492" spans="3:9">
      <c r="C492" s="122"/>
      <c r="E492" s="2"/>
      <c r="F492" s="2"/>
      <c r="H492" s="2"/>
      <c r="I492" s="37"/>
    </row>
    <row r="493" spans="3:9">
      <c r="C493" s="122"/>
      <c r="E493" s="2"/>
      <c r="F493" s="2"/>
      <c r="H493" s="2"/>
      <c r="I493" s="37"/>
    </row>
    <row r="494" spans="3:9">
      <c r="C494" s="122"/>
      <c r="E494" s="2"/>
      <c r="F494" s="2"/>
      <c r="H494" s="2"/>
      <c r="I494" s="37"/>
    </row>
    <row r="495" spans="3:9">
      <c r="C495" s="122"/>
      <c r="E495" s="2"/>
      <c r="F495" s="2"/>
      <c r="H495" s="2"/>
      <c r="I495" s="37"/>
    </row>
    <row r="496" spans="3:9">
      <c r="C496" s="122"/>
      <c r="E496" s="2"/>
      <c r="F496" s="2"/>
      <c r="H496" s="2"/>
      <c r="I496" s="37"/>
    </row>
    <row r="497" spans="3:9">
      <c r="C497" s="122"/>
      <c r="E497" s="2"/>
      <c r="F497" s="2"/>
      <c r="H497" s="2"/>
      <c r="I497" s="37"/>
    </row>
    <row r="498" spans="3:9">
      <c r="C498" s="122"/>
      <c r="E498" s="2"/>
      <c r="F498" s="2"/>
      <c r="H498" s="2"/>
      <c r="I498" s="37"/>
    </row>
    <row r="499" spans="3:9">
      <c r="C499" s="122"/>
      <c r="E499" s="2"/>
      <c r="F499" s="2"/>
      <c r="H499" s="2"/>
      <c r="I499" s="37"/>
    </row>
    <row r="500" spans="3:9">
      <c r="C500" s="122"/>
      <c r="E500" s="2"/>
      <c r="F500" s="2"/>
      <c r="H500" s="2"/>
      <c r="I500" s="37"/>
    </row>
    <row r="501" spans="3:9">
      <c r="C501" s="122"/>
      <c r="E501" s="2"/>
      <c r="F501" s="2"/>
      <c r="H501" s="2"/>
      <c r="I501" s="37"/>
    </row>
    <row r="502" spans="3:9">
      <c r="C502" s="122"/>
      <c r="E502" s="2"/>
      <c r="F502" s="2"/>
      <c r="H502" s="2"/>
      <c r="I502" s="37"/>
    </row>
    <row r="503" spans="3:9">
      <c r="C503" s="122"/>
      <c r="E503" s="2"/>
      <c r="F503" s="2"/>
      <c r="H503" s="2"/>
      <c r="I503" s="37"/>
    </row>
    <row r="504" spans="3:9">
      <c r="C504" s="122"/>
      <c r="E504" s="2"/>
      <c r="F504" s="2"/>
      <c r="H504" s="2"/>
      <c r="I504" s="37"/>
    </row>
    <row r="505" spans="3:9">
      <c r="C505" s="122"/>
      <c r="E505" s="2"/>
      <c r="F505" s="2"/>
      <c r="H505" s="2"/>
      <c r="I505" s="37"/>
    </row>
    <row r="506" spans="3:9">
      <c r="C506" s="122"/>
      <c r="E506" s="2"/>
      <c r="F506" s="2"/>
      <c r="H506" s="2"/>
      <c r="I506" s="37"/>
    </row>
    <row r="507" spans="3:9">
      <c r="C507" s="122"/>
      <c r="E507" s="2"/>
      <c r="F507" s="2"/>
      <c r="H507" s="2"/>
      <c r="I507" s="37"/>
    </row>
    <row r="508" spans="3:9">
      <c r="C508" s="122"/>
      <c r="E508" s="2"/>
      <c r="F508" s="2"/>
      <c r="H508" s="2"/>
      <c r="I508" s="37"/>
    </row>
    <row r="509" spans="3:9">
      <c r="C509" s="122"/>
      <c r="E509" s="2"/>
      <c r="F509" s="2"/>
      <c r="H509" s="2"/>
      <c r="I509" s="37"/>
    </row>
    <row r="510" spans="3:9">
      <c r="C510" s="122"/>
      <c r="E510" s="2"/>
      <c r="F510" s="2"/>
      <c r="H510" s="2"/>
      <c r="I510" s="37"/>
    </row>
    <row r="511" spans="3:9">
      <c r="C511" s="122"/>
      <c r="E511" s="2"/>
      <c r="F511" s="2"/>
      <c r="H511" s="2"/>
      <c r="I511" s="37"/>
    </row>
    <row r="512" spans="3:9">
      <c r="C512" s="122"/>
      <c r="E512" s="2"/>
      <c r="F512" s="2"/>
      <c r="H512" s="2"/>
      <c r="I512" s="37"/>
    </row>
    <row r="513" spans="3:9">
      <c r="C513" s="122"/>
      <c r="E513" s="2"/>
      <c r="F513" s="2"/>
      <c r="H513" s="2"/>
      <c r="I513" s="37"/>
    </row>
    <row r="514" spans="3:9">
      <c r="C514" s="122"/>
      <c r="E514" s="2"/>
      <c r="F514" s="2"/>
      <c r="H514" s="2"/>
      <c r="I514" s="37"/>
    </row>
    <row r="515" spans="3:9">
      <c r="C515" s="122"/>
      <c r="E515" s="2"/>
      <c r="F515" s="2"/>
      <c r="H515" s="2"/>
      <c r="I515" s="37"/>
    </row>
    <row r="516" spans="3:9">
      <c r="C516" s="122"/>
      <c r="E516" s="2"/>
      <c r="F516" s="2"/>
      <c r="H516" s="2"/>
      <c r="I516" s="37"/>
    </row>
    <row r="517" spans="3:9">
      <c r="C517" s="122"/>
      <c r="E517" s="2"/>
      <c r="F517" s="2"/>
      <c r="H517" s="2"/>
      <c r="I517" s="37"/>
    </row>
    <row r="518" spans="3:9">
      <c r="C518" s="122"/>
      <c r="E518" s="2"/>
      <c r="F518" s="2"/>
      <c r="H518" s="2"/>
      <c r="I518" s="37"/>
    </row>
    <row r="519" spans="3:9">
      <c r="C519" s="122"/>
      <c r="E519" s="2"/>
      <c r="F519" s="2"/>
      <c r="H519" s="2"/>
      <c r="I519" s="37"/>
    </row>
    <row r="520" spans="3:9">
      <c r="C520" s="122"/>
      <c r="E520" s="2"/>
      <c r="F520" s="2"/>
      <c r="H520" s="2"/>
      <c r="I520" s="37"/>
    </row>
    <row r="521" spans="3:9">
      <c r="C521" s="122"/>
      <c r="E521" s="2"/>
      <c r="F521" s="2"/>
      <c r="H521" s="2"/>
      <c r="I521" s="37"/>
    </row>
    <row r="522" spans="3:9">
      <c r="C522" s="122"/>
      <c r="E522" s="2"/>
      <c r="F522" s="2"/>
      <c r="H522" s="2"/>
      <c r="I522" s="37"/>
    </row>
    <row r="523" spans="3:9">
      <c r="C523" s="122"/>
      <c r="E523" s="2"/>
      <c r="F523" s="2"/>
      <c r="H523" s="2"/>
      <c r="I523" s="37"/>
    </row>
    <row r="524" spans="3:9">
      <c r="C524" s="122"/>
      <c r="E524" s="2"/>
      <c r="F524" s="2"/>
      <c r="H524" s="2"/>
      <c r="I524" s="37"/>
    </row>
    <row r="525" spans="3:9">
      <c r="C525" s="122"/>
      <c r="E525" s="2"/>
      <c r="F525" s="2"/>
      <c r="H525" s="2"/>
      <c r="I525" s="37"/>
    </row>
    <row r="526" spans="3:9">
      <c r="C526" s="122"/>
      <c r="E526" s="2"/>
      <c r="F526" s="2"/>
      <c r="H526" s="2"/>
      <c r="I526" s="37"/>
    </row>
    <row r="527" spans="3:9">
      <c r="C527" s="122"/>
      <c r="E527" s="2"/>
      <c r="F527" s="2"/>
      <c r="H527" s="2"/>
      <c r="I527" s="37"/>
    </row>
    <row r="528" spans="3:9">
      <c r="C528" s="122"/>
      <c r="E528" s="2"/>
      <c r="F528" s="2"/>
      <c r="H528" s="2"/>
      <c r="I528" s="37"/>
    </row>
    <row r="529" spans="3:9">
      <c r="C529" s="122"/>
      <c r="E529" s="2"/>
      <c r="F529" s="2"/>
      <c r="H529" s="2"/>
      <c r="I529" s="37"/>
    </row>
    <row r="530" spans="3:9">
      <c r="C530" s="122"/>
      <c r="E530" s="2"/>
      <c r="F530" s="2"/>
      <c r="H530" s="2"/>
      <c r="I530" s="37"/>
    </row>
    <row r="531" spans="3:9">
      <c r="C531" s="122"/>
      <c r="E531" s="2"/>
      <c r="F531" s="2"/>
      <c r="H531" s="2"/>
      <c r="I531" s="37"/>
    </row>
    <row r="532" spans="3:9">
      <c r="C532" s="122"/>
      <c r="E532" s="2"/>
      <c r="F532" s="2"/>
      <c r="H532" s="2"/>
      <c r="I532" s="37"/>
    </row>
    <row r="533" spans="3:9">
      <c r="C533" s="122"/>
      <c r="E533" s="2"/>
      <c r="F533" s="2"/>
      <c r="H533" s="2"/>
      <c r="I533" s="37"/>
    </row>
    <row r="534" spans="3:9">
      <c r="C534" s="122"/>
      <c r="E534" s="2"/>
      <c r="F534" s="2"/>
      <c r="H534" s="2"/>
      <c r="I534" s="37"/>
    </row>
    <row r="535" spans="3:9">
      <c r="C535" s="122"/>
      <c r="E535" s="2"/>
      <c r="F535" s="2"/>
      <c r="H535" s="2"/>
      <c r="I535" s="37"/>
    </row>
    <row r="536" spans="3:9">
      <c r="C536" s="122"/>
      <c r="E536" s="2"/>
      <c r="F536" s="2"/>
      <c r="H536" s="2"/>
      <c r="I536" s="37"/>
    </row>
    <row r="537" spans="3:9">
      <c r="C537" s="122"/>
      <c r="E537" s="2"/>
      <c r="F537" s="2"/>
      <c r="H537" s="2"/>
      <c r="I537" s="37"/>
    </row>
    <row r="538" spans="3:9">
      <c r="C538" s="122"/>
      <c r="E538" s="2"/>
      <c r="F538" s="2"/>
      <c r="H538" s="2"/>
      <c r="I538" s="37"/>
    </row>
    <row r="539" spans="3:9">
      <c r="C539" s="122"/>
      <c r="E539" s="2"/>
      <c r="F539" s="2"/>
      <c r="H539" s="2"/>
      <c r="I539" s="37"/>
    </row>
    <row r="540" spans="3:9">
      <c r="C540" s="122"/>
      <c r="E540" s="2"/>
      <c r="F540" s="2"/>
      <c r="H540" s="2"/>
      <c r="I540" s="37"/>
    </row>
    <row r="541" spans="3:9">
      <c r="C541" s="122"/>
      <c r="E541" s="2"/>
      <c r="F541" s="2"/>
      <c r="H541" s="2"/>
      <c r="I541" s="37"/>
    </row>
    <row r="542" spans="3:9">
      <c r="C542" s="122"/>
      <c r="E542" s="2"/>
      <c r="F542" s="2"/>
      <c r="H542" s="2"/>
      <c r="I542" s="37"/>
    </row>
    <row r="543" spans="3:9">
      <c r="C543" s="122"/>
      <c r="E543" s="2"/>
      <c r="F543" s="2"/>
      <c r="H543" s="2"/>
      <c r="I543" s="37"/>
    </row>
    <row r="544" spans="3:9">
      <c r="C544" s="122"/>
      <c r="E544" s="2"/>
      <c r="F544" s="2"/>
      <c r="H544" s="2"/>
      <c r="I544" s="37"/>
    </row>
    <row r="545" spans="3:9">
      <c r="C545" s="122"/>
      <c r="E545" s="2"/>
      <c r="F545" s="2"/>
      <c r="H545" s="2"/>
      <c r="I545" s="37"/>
    </row>
    <row r="546" spans="3:9">
      <c r="C546" s="122"/>
      <c r="E546" s="2"/>
      <c r="F546" s="2"/>
      <c r="H546" s="2"/>
      <c r="I546" s="37"/>
    </row>
    <row r="547" spans="3:9">
      <c r="C547" s="122"/>
      <c r="E547" s="2"/>
      <c r="F547" s="2"/>
      <c r="H547" s="2"/>
      <c r="I547" s="37"/>
    </row>
    <row r="548" spans="3:9">
      <c r="C548" s="122"/>
      <c r="E548" s="2"/>
      <c r="F548" s="2"/>
      <c r="H548" s="2"/>
      <c r="I548" s="37"/>
    </row>
    <row r="549" spans="3:9">
      <c r="C549" s="122"/>
      <c r="E549" s="2"/>
      <c r="F549" s="2"/>
      <c r="H549" s="2"/>
      <c r="I549" s="37"/>
    </row>
    <row r="550" spans="3:9">
      <c r="C550" s="122"/>
      <c r="E550" s="2"/>
      <c r="F550" s="2"/>
      <c r="H550" s="2"/>
      <c r="I550" s="37"/>
    </row>
    <row r="551" spans="3:9">
      <c r="C551" s="122"/>
      <c r="E551" s="2"/>
      <c r="F551" s="2"/>
      <c r="H551" s="2"/>
      <c r="I551" s="37"/>
    </row>
    <row r="552" spans="3:9">
      <c r="C552" s="122"/>
      <c r="E552" s="2"/>
      <c r="F552" s="2"/>
      <c r="H552" s="2"/>
      <c r="I552" s="37"/>
    </row>
    <row r="553" spans="3:9">
      <c r="C553" s="122"/>
      <c r="E553" s="2"/>
      <c r="F553" s="2"/>
      <c r="H553" s="2"/>
      <c r="I553" s="37"/>
    </row>
    <row r="554" spans="3:9">
      <c r="C554" s="122"/>
      <c r="E554" s="2"/>
      <c r="F554" s="2"/>
      <c r="H554" s="2"/>
      <c r="I554" s="37"/>
    </row>
    <row r="555" spans="3:9">
      <c r="C555" s="122"/>
      <c r="E555" s="2"/>
      <c r="F555" s="2"/>
      <c r="H555" s="2"/>
      <c r="I555" s="37"/>
    </row>
    <row r="556" spans="3:9">
      <c r="C556" s="122"/>
      <c r="E556" s="2"/>
      <c r="F556" s="2"/>
      <c r="H556" s="2"/>
      <c r="I556" s="37"/>
    </row>
    <row r="557" spans="3:9">
      <c r="C557" s="122"/>
      <c r="E557" s="2"/>
      <c r="F557" s="2"/>
      <c r="H557" s="2"/>
      <c r="I557" s="37"/>
    </row>
    <row r="558" spans="3:9">
      <c r="C558" s="122"/>
      <c r="E558" s="2"/>
      <c r="F558" s="2"/>
      <c r="H558" s="2"/>
      <c r="I558" s="37"/>
    </row>
    <row r="559" spans="3:9">
      <c r="C559" s="122"/>
      <c r="E559" s="2"/>
      <c r="F559" s="2"/>
      <c r="H559" s="2"/>
      <c r="I559" s="37"/>
    </row>
    <row r="560" spans="3:9">
      <c r="C560" s="122"/>
      <c r="E560" s="2"/>
      <c r="F560" s="2"/>
      <c r="H560" s="2"/>
      <c r="I560" s="37"/>
    </row>
    <row r="561" spans="3:9">
      <c r="C561" s="122"/>
      <c r="E561" s="2"/>
      <c r="F561" s="2"/>
      <c r="H561" s="2"/>
      <c r="I561" s="37"/>
    </row>
    <row r="562" spans="3:9">
      <c r="C562" s="122"/>
      <c r="E562" s="2"/>
      <c r="F562" s="2"/>
      <c r="H562" s="2"/>
      <c r="I562" s="37"/>
    </row>
    <row r="563" spans="3:9">
      <c r="C563" s="122"/>
      <c r="E563" s="2"/>
      <c r="F563" s="2"/>
      <c r="H563" s="2"/>
      <c r="I563" s="37"/>
    </row>
    <row r="564" spans="3:9">
      <c r="C564" s="122"/>
      <c r="E564" s="2"/>
      <c r="F564" s="2"/>
      <c r="H564" s="2"/>
      <c r="I564" s="37"/>
    </row>
    <row r="565" spans="3:9">
      <c r="C565" s="122"/>
      <c r="E565" s="2"/>
      <c r="F565" s="2"/>
      <c r="H565" s="2"/>
      <c r="I565" s="37"/>
    </row>
    <row r="566" spans="3:9">
      <c r="C566" s="122"/>
      <c r="E566" s="2"/>
      <c r="F566" s="2"/>
      <c r="H566" s="2"/>
      <c r="I566" s="37"/>
    </row>
    <row r="567" spans="3:9">
      <c r="C567" s="122"/>
      <c r="E567" s="2"/>
      <c r="F567" s="2"/>
      <c r="H567" s="2"/>
      <c r="I567" s="37"/>
    </row>
    <row r="568" spans="3:9">
      <c r="C568" s="122"/>
      <c r="E568" s="2"/>
      <c r="F568" s="2"/>
      <c r="H568" s="2"/>
      <c r="I568" s="37"/>
    </row>
    <row r="569" spans="3:9">
      <c r="C569" s="122"/>
      <c r="E569" s="2"/>
      <c r="F569" s="2"/>
      <c r="H569" s="2"/>
      <c r="I569" s="37"/>
    </row>
    <row r="570" spans="3:9">
      <c r="C570" s="122"/>
      <c r="E570" s="2"/>
      <c r="F570" s="2"/>
      <c r="H570" s="2"/>
      <c r="I570" s="37"/>
    </row>
    <row r="571" spans="3:9">
      <c r="C571" s="122"/>
      <c r="E571" s="2"/>
      <c r="F571" s="2"/>
      <c r="H571" s="2"/>
      <c r="I571" s="37"/>
    </row>
    <row r="572" spans="3:9">
      <c r="C572" s="122"/>
      <c r="E572" s="2"/>
      <c r="F572" s="2"/>
      <c r="H572" s="2"/>
      <c r="I572" s="37"/>
    </row>
    <row r="573" spans="3:9">
      <c r="C573" s="122"/>
      <c r="E573" s="2"/>
      <c r="F573" s="2"/>
      <c r="H573" s="2"/>
      <c r="I573" s="37"/>
    </row>
    <row r="574" spans="3:9">
      <c r="C574" s="122"/>
      <c r="E574" s="2"/>
      <c r="F574" s="2"/>
      <c r="H574" s="2"/>
      <c r="I574" s="37"/>
    </row>
    <row r="575" spans="3:9">
      <c r="C575" s="122"/>
      <c r="E575" s="2"/>
      <c r="F575" s="2"/>
      <c r="H575" s="2"/>
      <c r="I575" s="37"/>
    </row>
    <row r="576" spans="3:9">
      <c r="C576" s="122"/>
      <c r="E576" s="2"/>
      <c r="F576" s="2"/>
      <c r="H576" s="2"/>
      <c r="I576" s="37"/>
    </row>
    <row r="577" spans="3:9">
      <c r="C577" s="122"/>
      <c r="E577" s="2"/>
      <c r="F577" s="2"/>
      <c r="H577" s="2"/>
      <c r="I577" s="37"/>
    </row>
    <row r="578" spans="3:9">
      <c r="C578" s="122"/>
      <c r="E578" s="2"/>
      <c r="F578" s="2"/>
      <c r="H578" s="2"/>
      <c r="I578" s="37"/>
    </row>
    <row r="579" spans="3:9">
      <c r="C579" s="122"/>
      <c r="E579" s="2"/>
      <c r="F579" s="2"/>
      <c r="H579" s="2"/>
      <c r="I579" s="37"/>
    </row>
    <row r="580" spans="3:9">
      <c r="C580" s="122"/>
      <c r="E580" s="2"/>
      <c r="F580" s="2"/>
      <c r="H580" s="2"/>
      <c r="I580" s="37"/>
    </row>
    <row r="581" spans="3:9">
      <c r="C581" s="122"/>
      <c r="E581" s="2"/>
      <c r="F581" s="2"/>
      <c r="H581" s="2"/>
      <c r="I581" s="37"/>
    </row>
    <row r="582" spans="3:9">
      <c r="C582" s="122"/>
      <c r="E582" s="2"/>
      <c r="F582" s="2"/>
      <c r="H582" s="2"/>
      <c r="I582" s="37"/>
    </row>
    <row r="583" spans="3:9">
      <c r="C583" s="122"/>
      <c r="E583" s="2"/>
      <c r="F583" s="2"/>
      <c r="H583" s="2"/>
      <c r="I583" s="37"/>
    </row>
    <row r="584" spans="3:9">
      <c r="C584" s="122"/>
      <c r="E584" s="2"/>
      <c r="F584" s="2"/>
      <c r="H584" s="2"/>
      <c r="I584" s="37"/>
    </row>
    <row r="585" spans="3:9">
      <c r="C585" s="122"/>
      <c r="E585" s="2"/>
      <c r="F585" s="2"/>
      <c r="H585" s="2"/>
      <c r="I585" s="37"/>
    </row>
    <row r="586" spans="3:9">
      <c r="C586" s="122"/>
      <c r="E586" s="2"/>
      <c r="F586" s="2"/>
      <c r="H586" s="2"/>
      <c r="I586" s="37"/>
    </row>
    <row r="587" spans="3:9">
      <c r="C587" s="122"/>
      <c r="E587" s="2"/>
      <c r="F587" s="2"/>
      <c r="H587" s="2"/>
      <c r="I587" s="37"/>
    </row>
    <row r="588" spans="3:9">
      <c r="C588" s="122"/>
      <c r="E588" s="2"/>
      <c r="F588" s="2"/>
      <c r="H588" s="2"/>
      <c r="I588" s="37"/>
    </row>
    <row r="589" spans="3:9">
      <c r="C589" s="122"/>
      <c r="E589" s="2"/>
      <c r="F589" s="2"/>
      <c r="H589" s="2"/>
      <c r="I589" s="37"/>
    </row>
    <row r="590" spans="3:9">
      <c r="C590" s="122"/>
      <c r="E590" s="2"/>
      <c r="F590" s="2"/>
      <c r="H590" s="2"/>
      <c r="I590" s="37"/>
    </row>
    <row r="591" spans="3:9">
      <c r="C591" s="122"/>
      <c r="E591" s="2"/>
      <c r="F591" s="2"/>
      <c r="H591" s="2"/>
      <c r="I591" s="37"/>
    </row>
    <row r="592" spans="3:9">
      <c r="C592" s="122"/>
      <c r="E592" s="2"/>
      <c r="F592" s="2"/>
      <c r="H592" s="2"/>
      <c r="I592" s="37"/>
    </row>
    <row r="593" spans="3:9">
      <c r="C593" s="122"/>
      <c r="E593" s="2"/>
      <c r="F593" s="2"/>
      <c r="H593" s="2"/>
      <c r="I593" s="37"/>
    </row>
    <row r="594" spans="3:9">
      <c r="C594" s="122"/>
      <c r="E594" s="2"/>
      <c r="F594" s="2"/>
      <c r="H594" s="2"/>
      <c r="I594" s="37"/>
    </row>
    <row r="595" spans="3:9">
      <c r="C595" s="122"/>
      <c r="E595" s="2"/>
      <c r="F595" s="2"/>
      <c r="H595" s="2"/>
      <c r="I595" s="37"/>
    </row>
    <row r="596" spans="3:9">
      <c r="C596" s="122"/>
      <c r="E596" s="2"/>
      <c r="F596" s="2"/>
      <c r="H596" s="2"/>
      <c r="I596" s="37"/>
    </row>
    <row r="597" spans="3:9">
      <c r="C597" s="122"/>
      <c r="E597" s="2"/>
      <c r="F597" s="2"/>
      <c r="H597" s="2"/>
      <c r="I597" s="37"/>
    </row>
    <row r="598" spans="3:9">
      <c r="C598" s="122"/>
      <c r="E598" s="2"/>
      <c r="F598" s="2"/>
      <c r="H598" s="2"/>
      <c r="I598" s="37"/>
    </row>
    <row r="599" spans="3:9">
      <c r="C599" s="122"/>
      <c r="E599" s="2"/>
      <c r="F599" s="2"/>
      <c r="H599" s="2"/>
      <c r="I599" s="37"/>
    </row>
    <row r="600" spans="3:9">
      <c r="C600" s="122"/>
      <c r="E600" s="2"/>
      <c r="F600" s="2"/>
      <c r="H600" s="2"/>
      <c r="I600" s="37"/>
    </row>
    <row r="601" spans="3:9">
      <c r="C601" s="122"/>
      <c r="E601" s="2"/>
      <c r="F601" s="2"/>
      <c r="H601" s="2"/>
      <c r="I601" s="37"/>
    </row>
    <row r="602" spans="3:9">
      <c r="C602" s="122"/>
      <c r="E602" s="2"/>
      <c r="F602" s="2"/>
      <c r="H602" s="2"/>
      <c r="I602" s="37"/>
    </row>
    <row r="603" spans="3:9">
      <c r="C603" s="122"/>
      <c r="E603" s="2"/>
      <c r="F603" s="2"/>
      <c r="H603" s="2"/>
      <c r="I603" s="37"/>
    </row>
    <row r="604" spans="3:9">
      <c r="C604" s="122"/>
      <c r="E604" s="2"/>
      <c r="F604" s="2"/>
      <c r="H604" s="2"/>
      <c r="I604" s="37"/>
    </row>
    <row r="605" spans="3:9">
      <c r="C605" s="122"/>
      <c r="E605" s="2"/>
      <c r="F605" s="2"/>
      <c r="H605" s="2"/>
      <c r="I605" s="37"/>
    </row>
    <row r="606" spans="3:9">
      <c r="C606" s="122"/>
      <c r="E606" s="2"/>
      <c r="F606" s="2"/>
      <c r="H606" s="2"/>
      <c r="I606" s="37"/>
    </row>
    <row r="607" spans="3:9">
      <c r="C607" s="122"/>
      <c r="E607" s="2"/>
      <c r="F607" s="2"/>
      <c r="H607" s="2"/>
      <c r="I607" s="37"/>
    </row>
    <row r="608" spans="3:9">
      <c r="C608" s="122"/>
      <c r="E608" s="2"/>
      <c r="F608" s="2"/>
      <c r="H608" s="2"/>
      <c r="I608" s="37"/>
    </row>
    <row r="609" spans="3:9">
      <c r="C609" s="122"/>
      <c r="E609" s="2"/>
      <c r="F609" s="2"/>
      <c r="H609" s="2"/>
      <c r="I609" s="37"/>
    </row>
    <row r="610" spans="3:9">
      <c r="C610" s="122"/>
      <c r="E610" s="2"/>
      <c r="F610" s="2"/>
      <c r="H610" s="2"/>
      <c r="I610" s="37"/>
    </row>
    <row r="611" spans="3:9">
      <c r="C611" s="122"/>
      <c r="E611" s="2"/>
      <c r="F611" s="2"/>
      <c r="H611" s="2"/>
      <c r="I611" s="37"/>
    </row>
    <row r="612" spans="3:9">
      <c r="C612" s="122"/>
      <c r="E612" s="2"/>
      <c r="F612" s="2"/>
      <c r="H612" s="2"/>
      <c r="I612" s="37"/>
    </row>
    <row r="613" spans="3:9">
      <c r="C613" s="122"/>
      <c r="E613" s="2"/>
      <c r="F613" s="2"/>
      <c r="H613" s="2"/>
      <c r="I613" s="37"/>
    </row>
    <row r="614" spans="3:9">
      <c r="C614" s="122"/>
      <c r="E614" s="2"/>
      <c r="F614" s="2"/>
      <c r="H614" s="2"/>
      <c r="I614" s="37"/>
    </row>
    <row r="615" spans="3:9">
      <c r="C615" s="122"/>
      <c r="E615" s="2"/>
      <c r="F615" s="2"/>
      <c r="H615" s="2"/>
      <c r="I615" s="37"/>
    </row>
    <row r="616" spans="3:9">
      <c r="C616" s="122"/>
      <c r="E616" s="2"/>
      <c r="F616" s="2"/>
      <c r="H616" s="2"/>
      <c r="I616" s="37"/>
    </row>
    <row r="617" spans="3:9">
      <c r="C617" s="122"/>
      <c r="E617" s="2"/>
      <c r="F617" s="2"/>
      <c r="H617" s="2"/>
      <c r="I617" s="37"/>
    </row>
    <row r="618" spans="3:9">
      <c r="C618" s="122"/>
      <c r="E618" s="2"/>
      <c r="F618" s="2"/>
      <c r="H618" s="2"/>
      <c r="I618" s="37"/>
    </row>
    <row r="619" spans="3:9">
      <c r="C619" s="122"/>
      <c r="E619" s="2"/>
      <c r="F619" s="2"/>
      <c r="H619" s="2"/>
      <c r="I619" s="37"/>
    </row>
    <row r="620" spans="3:9">
      <c r="C620" s="122"/>
      <c r="E620" s="2"/>
      <c r="F620" s="2"/>
      <c r="H620" s="2"/>
      <c r="I620" s="37"/>
    </row>
    <row r="621" spans="3:9">
      <c r="C621" s="122"/>
      <c r="E621" s="2"/>
      <c r="F621" s="2"/>
      <c r="H621" s="2"/>
      <c r="I621" s="37"/>
    </row>
    <row r="622" spans="3:9">
      <c r="C622" s="122"/>
      <c r="E622" s="2"/>
      <c r="F622" s="2"/>
      <c r="H622" s="2"/>
      <c r="I622" s="37"/>
    </row>
    <row r="623" spans="3:9">
      <c r="C623" s="122"/>
      <c r="E623" s="2"/>
      <c r="F623" s="2"/>
      <c r="H623" s="2"/>
      <c r="I623" s="37"/>
    </row>
    <row r="624" spans="3:9">
      <c r="C624" s="122"/>
      <c r="E624" s="2"/>
      <c r="F624" s="2"/>
      <c r="H624" s="2"/>
      <c r="I624" s="37"/>
    </row>
    <row r="625" spans="3:9">
      <c r="C625" s="122"/>
      <c r="E625" s="2"/>
      <c r="F625" s="2"/>
      <c r="H625" s="2"/>
      <c r="I625" s="37"/>
    </row>
    <row r="626" spans="3:9">
      <c r="C626" s="122"/>
      <c r="E626" s="2"/>
      <c r="F626" s="2"/>
      <c r="H626" s="2"/>
      <c r="I626" s="37"/>
    </row>
    <row r="627" spans="3:9">
      <c r="C627" s="122"/>
      <c r="E627" s="2"/>
      <c r="F627" s="2"/>
      <c r="H627" s="2"/>
      <c r="I627" s="37"/>
    </row>
    <row r="628" spans="3:9">
      <c r="C628" s="122"/>
      <c r="E628" s="2"/>
      <c r="F628" s="2"/>
      <c r="H628" s="2"/>
      <c r="I628" s="37"/>
    </row>
    <row r="629" spans="3:9">
      <c r="C629" s="122"/>
      <c r="E629" s="2"/>
      <c r="F629" s="2"/>
      <c r="H629" s="2"/>
      <c r="I629" s="37"/>
    </row>
    <row r="630" spans="3:9">
      <c r="C630" s="122"/>
      <c r="E630" s="2"/>
      <c r="F630" s="2"/>
      <c r="H630" s="2"/>
      <c r="I630" s="37"/>
    </row>
    <row r="631" spans="3:9">
      <c r="C631" s="122"/>
      <c r="E631" s="2"/>
      <c r="F631" s="2"/>
      <c r="H631" s="2"/>
      <c r="I631" s="37"/>
    </row>
    <row r="632" spans="3:9">
      <c r="C632" s="122"/>
      <c r="E632" s="2"/>
      <c r="F632" s="2"/>
      <c r="H632" s="2"/>
      <c r="I632" s="37"/>
    </row>
    <row r="633" spans="3:9">
      <c r="C633" s="122"/>
      <c r="E633" s="2"/>
      <c r="F633" s="2"/>
      <c r="H633" s="2"/>
      <c r="I633" s="37"/>
    </row>
    <row r="634" spans="3:9">
      <c r="C634" s="122"/>
      <c r="E634" s="2"/>
      <c r="F634" s="2"/>
      <c r="H634" s="2"/>
      <c r="I634" s="37"/>
    </row>
    <row r="635" spans="3:9">
      <c r="C635" s="122"/>
      <c r="E635" s="2"/>
      <c r="F635" s="2"/>
      <c r="H635" s="2"/>
      <c r="I635" s="37"/>
    </row>
    <row r="636" spans="3:9">
      <c r="C636" s="122"/>
      <c r="E636" s="2"/>
      <c r="F636" s="2"/>
      <c r="H636" s="2"/>
      <c r="I636" s="37"/>
    </row>
    <row r="637" spans="3:9">
      <c r="C637" s="122"/>
      <c r="E637" s="2"/>
      <c r="F637" s="2"/>
      <c r="H637" s="2"/>
      <c r="I637" s="37"/>
    </row>
    <row r="638" spans="3:9">
      <c r="C638" s="122"/>
      <c r="E638" s="2"/>
      <c r="F638" s="2"/>
      <c r="H638" s="2"/>
      <c r="I638" s="37"/>
    </row>
    <row r="639" spans="3:9">
      <c r="C639" s="122"/>
      <c r="E639" s="2"/>
      <c r="F639" s="2"/>
      <c r="H639" s="2"/>
      <c r="I639" s="37"/>
    </row>
    <row r="640" spans="3:9">
      <c r="C640" s="122"/>
      <c r="E640" s="2"/>
      <c r="F640" s="2"/>
      <c r="H640" s="2"/>
      <c r="I640" s="37"/>
    </row>
    <row r="641" spans="3:9">
      <c r="C641" s="122"/>
      <c r="E641" s="2"/>
      <c r="F641" s="2"/>
      <c r="H641" s="2"/>
      <c r="I641" s="37"/>
    </row>
    <row r="642" spans="3:9">
      <c r="C642" s="122"/>
      <c r="E642" s="2"/>
      <c r="F642" s="2"/>
      <c r="H642" s="2"/>
      <c r="I642" s="37"/>
    </row>
    <row r="643" spans="3:9">
      <c r="C643" s="122"/>
      <c r="E643" s="2"/>
      <c r="F643" s="2"/>
      <c r="H643" s="2"/>
      <c r="I643" s="37"/>
    </row>
    <row r="644" spans="3:9">
      <c r="C644" s="122"/>
      <c r="E644" s="2"/>
      <c r="F644" s="2"/>
      <c r="H644" s="2"/>
      <c r="I644" s="37"/>
    </row>
    <row r="645" spans="3:9">
      <c r="C645" s="122"/>
      <c r="E645" s="2"/>
      <c r="F645" s="2"/>
      <c r="H645" s="2"/>
      <c r="I645" s="37"/>
    </row>
    <row r="646" spans="3:9">
      <c r="C646" s="122"/>
      <c r="E646" s="2"/>
      <c r="F646" s="2"/>
      <c r="H646" s="2"/>
      <c r="I646" s="37"/>
    </row>
    <row r="647" spans="3:9">
      <c r="C647" s="122"/>
      <c r="E647" s="2"/>
      <c r="F647" s="2"/>
      <c r="H647" s="2"/>
      <c r="I647" s="37"/>
    </row>
    <row r="648" spans="3:9">
      <c r="C648" s="122"/>
      <c r="E648" s="2"/>
      <c r="F648" s="2"/>
      <c r="H648" s="2"/>
      <c r="I648" s="37"/>
    </row>
    <row r="649" spans="3:9">
      <c r="C649" s="122"/>
      <c r="E649" s="2"/>
      <c r="F649" s="2"/>
      <c r="H649" s="2"/>
      <c r="I649" s="37"/>
    </row>
    <row r="650" spans="3:9">
      <c r="C650" s="122"/>
      <c r="E650" s="2"/>
      <c r="F650" s="2"/>
      <c r="H650" s="2"/>
      <c r="I650" s="37"/>
    </row>
    <row r="651" spans="3:9">
      <c r="C651" s="122"/>
      <c r="E651" s="2"/>
      <c r="F651" s="2"/>
      <c r="H651" s="2"/>
      <c r="I651" s="37"/>
    </row>
    <row r="652" spans="3:9">
      <c r="C652" s="122"/>
      <c r="E652" s="2"/>
      <c r="F652" s="2"/>
      <c r="H652" s="2"/>
      <c r="I652" s="37"/>
    </row>
    <row r="653" spans="3:9">
      <c r="C653" s="122"/>
      <c r="E653" s="2"/>
      <c r="F653" s="2"/>
      <c r="H653" s="2"/>
      <c r="I653" s="37"/>
    </row>
    <row r="654" spans="3:9">
      <c r="C654" s="122"/>
      <c r="E654" s="2"/>
      <c r="F654" s="2"/>
      <c r="H654" s="2"/>
      <c r="I654" s="37"/>
    </row>
    <row r="655" spans="3:9">
      <c r="C655" s="122"/>
      <c r="E655" s="2"/>
      <c r="F655" s="2"/>
      <c r="H655" s="2"/>
      <c r="I655" s="37"/>
    </row>
    <row r="656" spans="3:9">
      <c r="C656" s="122"/>
      <c r="E656" s="2"/>
      <c r="F656" s="2"/>
      <c r="H656" s="2"/>
      <c r="I656" s="37"/>
    </row>
    <row r="657" spans="3:9">
      <c r="C657" s="122"/>
      <c r="E657" s="2"/>
      <c r="F657" s="2"/>
      <c r="H657" s="2"/>
      <c r="I657" s="37"/>
    </row>
    <row r="658" spans="3:9">
      <c r="C658" s="122"/>
      <c r="E658" s="2"/>
      <c r="F658" s="2"/>
      <c r="H658" s="2"/>
      <c r="I658" s="37"/>
    </row>
    <row r="659" spans="3:9">
      <c r="C659" s="122"/>
      <c r="E659" s="2"/>
      <c r="F659" s="2"/>
      <c r="H659" s="2"/>
      <c r="I659" s="37"/>
    </row>
    <row r="660" spans="3:9">
      <c r="C660" s="122"/>
      <c r="E660" s="2"/>
      <c r="F660" s="2"/>
      <c r="H660" s="2"/>
      <c r="I660" s="37"/>
    </row>
    <row r="661" spans="3:9">
      <c r="C661" s="122"/>
      <c r="E661" s="2"/>
      <c r="F661" s="2"/>
      <c r="H661" s="2"/>
      <c r="I661" s="37"/>
    </row>
    <row r="662" spans="3:9">
      <c r="C662" s="122"/>
      <c r="E662" s="2"/>
      <c r="F662" s="2"/>
      <c r="H662" s="2"/>
      <c r="I662" s="37"/>
    </row>
    <row r="663" spans="3:9">
      <c r="C663" s="122"/>
      <c r="E663" s="2"/>
      <c r="F663" s="2"/>
      <c r="H663" s="2"/>
      <c r="I663" s="37"/>
    </row>
    <row r="664" spans="3:9">
      <c r="C664" s="122"/>
      <c r="E664" s="2"/>
      <c r="F664" s="2"/>
      <c r="H664" s="2"/>
      <c r="I664" s="37"/>
    </row>
    <row r="665" spans="3:9">
      <c r="C665" s="122"/>
      <c r="E665" s="2"/>
      <c r="F665" s="2"/>
      <c r="H665" s="2"/>
      <c r="I665" s="37"/>
    </row>
    <row r="666" spans="3:9">
      <c r="C666" s="122"/>
      <c r="E666" s="2"/>
      <c r="F666" s="2"/>
      <c r="H666" s="2"/>
      <c r="I666" s="37"/>
    </row>
    <row r="667" spans="3:9">
      <c r="C667" s="122"/>
      <c r="E667" s="2"/>
      <c r="F667" s="2"/>
      <c r="H667" s="2"/>
      <c r="I667" s="37"/>
    </row>
    <row r="668" spans="3:9">
      <c r="C668" s="122"/>
      <c r="E668" s="2"/>
      <c r="F668" s="2"/>
      <c r="H668" s="2"/>
      <c r="I668" s="37"/>
    </row>
    <row r="669" spans="3:9">
      <c r="C669" s="122"/>
      <c r="E669" s="2"/>
      <c r="F669" s="2"/>
      <c r="H669" s="2"/>
      <c r="I669" s="37"/>
    </row>
    <row r="670" spans="3:9">
      <c r="C670" s="122"/>
      <c r="E670" s="2"/>
      <c r="F670" s="2"/>
      <c r="H670" s="2"/>
      <c r="I670" s="37"/>
    </row>
    <row r="671" spans="3:9">
      <c r="C671" s="122"/>
      <c r="E671" s="2"/>
      <c r="F671" s="2"/>
      <c r="H671" s="2"/>
      <c r="I671" s="37"/>
    </row>
    <row r="672" spans="3:9">
      <c r="C672" s="122"/>
      <c r="E672" s="2"/>
      <c r="F672" s="2"/>
      <c r="H672" s="2"/>
      <c r="I672" s="37"/>
    </row>
    <row r="673" spans="3:9">
      <c r="C673" s="122"/>
      <c r="E673" s="2"/>
      <c r="F673" s="2"/>
      <c r="H673" s="2"/>
      <c r="I673" s="37"/>
    </row>
    <row r="674" spans="3:9">
      <c r="C674" s="122"/>
      <c r="E674" s="2"/>
      <c r="F674" s="2"/>
      <c r="H674" s="2"/>
      <c r="I674" s="37"/>
    </row>
    <row r="675" spans="3:9">
      <c r="C675" s="122"/>
      <c r="E675" s="2"/>
      <c r="F675" s="2"/>
      <c r="H675" s="2"/>
      <c r="I675" s="37"/>
    </row>
  </sheetData>
  <mergeCells count="52">
    <mergeCell ref="C197:C198"/>
    <mergeCell ref="F197:F198"/>
    <mergeCell ref="H197:H198"/>
    <mergeCell ref="C204:C205"/>
    <mergeCell ref="F204:F205"/>
    <mergeCell ref="H204:H205"/>
    <mergeCell ref="C172:C173"/>
    <mergeCell ref="F172:F173"/>
    <mergeCell ref="H172:H173"/>
    <mergeCell ref="C188:C189"/>
    <mergeCell ref="E188:E189"/>
    <mergeCell ref="F188:F189"/>
    <mergeCell ref="G188:G189"/>
    <mergeCell ref="H188:H189"/>
    <mergeCell ref="A138:A142"/>
    <mergeCell ref="C138:C143"/>
    <mergeCell ref="F138:F143"/>
    <mergeCell ref="H138:H143"/>
    <mergeCell ref="A147:A149"/>
    <mergeCell ref="C159:C160"/>
    <mergeCell ref="F159:F160"/>
    <mergeCell ref="H159:H160"/>
    <mergeCell ref="C55:C56"/>
    <mergeCell ref="F55:F56"/>
    <mergeCell ref="H55:H56"/>
    <mergeCell ref="A79:A80"/>
    <mergeCell ref="C79:C81"/>
    <mergeCell ref="F79:F81"/>
    <mergeCell ref="H79:H81"/>
    <mergeCell ref="A32:A35"/>
    <mergeCell ref="F32:F34"/>
    <mergeCell ref="H32:H34"/>
    <mergeCell ref="C37:C38"/>
    <mergeCell ref="F37:F38"/>
    <mergeCell ref="C41:C42"/>
    <mergeCell ref="F41:F42"/>
    <mergeCell ref="H41:H42"/>
    <mergeCell ref="C23:C24"/>
    <mergeCell ref="F23:F24"/>
    <mergeCell ref="H23:H24"/>
    <mergeCell ref="C29:C30"/>
    <mergeCell ref="F29:F30"/>
    <mergeCell ref="H29:H30"/>
    <mergeCell ref="I2:P2"/>
    <mergeCell ref="F18:F19"/>
    <mergeCell ref="H18:H19"/>
    <mergeCell ref="A1:H2"/>
    <mergeCell ref="A3:A4"/>
    <mergeCell ref="C3:H3"/>
    <mergeCell ref="C8:C9"/>
    <mergeCell ref="F8:F9"/>
    <mergeCell ref="H8:H9"/>
  </mergeCells>
  <printOptions horizontalCentered="1"/>
  <pageMargins left="0.74803149606299213" right="0.74803149606299213" top="0.98425196850393704" bottom="0.98425196850393704" header="0" footer="0"/>
  <pageSetup scale="44" orientation="portrait" r:id="rId1"/>
  <headerFooter alignWithMargins="0"/>
  <rowBreaks count="2" manualBreakCount="2">
    <brk id="95" max="7" man="1"/>
    <brk id="198" max="7" man="1"/>
  </rowBreaks>
  <ignoredErrors>
    <ignoredError sqref="F25 F47 F52 F57 F62 C62 H67 C74 F70 F96 F105 F119 F133 F153 C158 F168 F170 F179:F180 H179 F184 H184 F193 F19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44 </vt:lpstr>
      <vt:lpstr>'Cuadro 44 '!Área_de_impresión</vt:lpstr>
      <vt:lpstr>'Cuadro 44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2019-04-30T13:46:11Z</cp:lastPrinted>
  <dcterms:created xsi:type="dcterms:W3CDTF">2019-04-30T13:18:40Z</dcterms:created>
  <dcterms:modified xsi:type="dcterms:W3CDTF">2019-04-30T13:47:26Z</dcterms:modified>
</cp:coreProperties>
</file>