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47" sheetId="1" r:id="rId1"/>
  </sheets>
  <externalReferences>
    <externalReference r:id="rId2"/>
  </externalReferences>
  <definedNames>
    <definedName name="_xlnm.Print_Area" localSheetId="0">'47'!$A$1:$S$169</definedName>
    <definedName name="_xlnm.Print_Titles" localSheetId="0">'47'!$1:$7</definedName>
  </definedNames>
  <calcPr calcId="124519"/>
</workbook>
</file>

<file path=xl/calcChain.xml><?xml version="1.0" encoding="utf-8"?>
<calcChain xmlns="http://schemas.openxmlformats.org/spreadsheetml/2006/main">
  <c r="N14" i="1"/>
  <c r="O14"/>
  <c r="P14"/>
  <c r="Q14"/>
  <c r="R14"/>
  <c r="S14"/>
  <c r="S120"/>
  <c r="R118"/>
  <c r="Q118"/>
  <c r="S117"/>
  <c r="P113"/>
  <c r="S99"/>
  <c r="R99"/>
  <c r="Q99"/>
  <c r="P99"/>
  <c r="S80"/>
  <c r="R80"/>
  <c r="Q80"/>
  <c r="P80"/>
  <c r="O80"/>
  <c r="N80"/>
  <c r="Q79"/>
  <c r="P79"/>
  <c r="O79"/>
  <c r="N79"/>
  <c r="R78"/>
  <c r="Q78"/>
  <c r="P78"/>
  <c r="O78"/>
  <c r="N78"/>
  <c r="S77"/>
  <c r="S71"/>
  <c r="R71"/>
  <c r="Q71"/>
  <c r="P71"/>
  <c r="O71"/>
  <c r="N71"/>
  <c r="S70"/>
  <c r="R70"/>
  <c r="Q70"/>
  <c r="P70"/>
  <c r="O70"/>
  <c r="S68"/>
  <c r="R68"/>
  <c r="Q68"/>
  <c r="P68"/>
  <c r="O68"/>
  <c r="N68"/>
  <c r="R65"/>
  <c r="Q65"/>
  <c r="P65"/>
  <c r="N65"/>
  <c r="R64"/>
  <c r="Q64"/>
  <c r="P64"/>
  <c r="M63"/>
  <c r="S62"/>
  <c r="R62"/>
  <c r="Q62"/>
  <c r="P62"/>
  <c r="O62"/>
  <c r="N62"/>
  <c r="M61"/>
  <c r="S59"/>
  <c r="R59"/>
  <c r="Q59"/>
  <c r="P59"/>
  <c r="O59"/>
  <c r="N59"/>
  <c r="P56"/>
  <c r="M55"/>
  <c r="Q54"/>
  <c r="P54"/>
  <c r="O54"/>
  <c r="N54"/>
  <c r="S52"/>
  <c r="R52"/>
  <c r="Q52"/>
  <c r="P52"/>
  <c r="O52"/>
  <c r="N52"/>
  <c r="S50"/>
  <c r="R50"/>
  <c r="P50"/>
  <c r="S48"/>
  <c r="R48"/>
  <c r="P48"/>
  <c r="N48"/>
  <c r="S45"/>
  <c r="R45"/>
  <c r="Q45"/>
  <c r="P45"/>
  <c r="O45"/>
  <c r="N45"/>
  <c r="S40"/>
  <c r="R40"/>
  <c r="Q40"/>
  <c r="P40"/>
  <c r="O40"/>
  <c r="N40"/>
  <c r="S38"/>
  <c r="R38"/>
  <c r="Q38"/>
  <c r="P38"/>
  <c r="O38"/>
  <c r="N38"/>
  <c r="S37"/>
  <c r="R37"/>
  <c r="Q37"/>
  <c r="P37"/>
  <c r="O37"/>
  <c r="N37"/>
  <c r="S33"/>
  <c r="R33"/>
  <c r="Q33"/>
  <c r="P33"/>
  <c r="O33"/>
  <c r="N33"/>
  <c r="N32"/>
  <c r="S29"/>
  <c r="R29"/>
  <c r="Q29"/>
  <c r="P29"/>
  <c r="O29"/>
  <c r="M28"/>
  <c r="S26"/>
  <c r="R26"/>
  <c r="Q26"/>
  <c r="P26"/>
  <c r="O26"/>
  <c r="N26"/>
  <c r="S25"/>
  <c r="R25"/>
  <c r="Q25"/>
  <c r="P25"/>
  <c r="O25"/>
  <c r="N25"/>
  <c r="S24"/>
  <c r="S21"/>
  <c r="R18"/>
  <c r="Q18"/>
  <c r="P18"/>
  <c r="O18"/>
  <c r="S17"/>
  <c r="M17"/>
  <c r="R15"/>
  <c r="P15"/>
  <c r="S12"/>
  <c r="L12"/>
  <c r="F12"/>
  <c r="F8" s="1"/>
  <c r="E12"/>
  <c r="D12"/>
  <c r="D8" s="1"/>
  <c r="C12"/>
  <c r="C8" s="1"/>
  <c r="R11"/>
  <c r="Q11"/>
  <c r="P11"/>
  <c r="O11"/>
  <c r="N11"/>
  <c r="R9"/>
  <c r="Q9"/>
  <c r="P9"/>
  <c r="O9"/>
  <c r="N9"/>
  <c r="L8"/>
  <c r="K8"/>
  <c r="J8"/>
  <c r="I8"/>
  <c r="H8"/>
  <c r="G8"/>
  <c r="E8"/>
  <c r="R8" l="1"/>
  <c r="N8"/>
  <c r="P8"/>
  <c r="O8"/>
  <c r="Q8"/>
  <c r="M8"/>
  <c r="S8"/>
</calcChain>
</file>

<file path=xl/sharedStrings.xml><?xml version="1.0" encoding="utf-8"?>
<sst xmlns="http://schemas.openxmlformats.org/spreadsheetml/2006/main" count="244" uniqueCount="125">
  <si>
    <t>Cuadro 47. PESO DE LAS  IMPORTACIONES DE DESECHOS Y RESIDUOS A LA REPÚBLICA, 
SEGÚN DESCRIPCIÓN ARANCELARIA: AÑOS 2013-17</t>
  </si>
  <si>
    <t>Código</t>
  </si>
  <si>
    <t>Descripción arancelaria</t>
  </si>
  <si>
    <t>Importación de desechos y residuos
 (en toneladas métricas)</t>
  </si>
  <si>
    <t xml:space="preserve">2016 (R) </t>
  </si>
  <si>
    <t xml:space="preserve">2017 (P) </t>
  </si>
  <si>
    <t xml:space="preserve">                                   TOTAL...........................................</t>
  </si>
  <si>
    <t>Residuos del tratamiento de las grasas o ceras ani-
   males</t>
  </si>
  <si>
    <t xml:space="preserve">    males...............................................................................................</t>
  </si>
  <si>
    <t>-</t>
  </si>
  <si>
    <t>Desechos de aceites que contengan difenilos poli-</t>
  </si>
  <si>
    <t>(a) 23000000</t>
  </si>
  <si>
    <t xml:space="preserve">Residuos y desperdicios de las industrias alimenta-
   </t>
  </si>
  <si>
    <t xml:space="preserve">   clorados (PCB), terfenilos policlorados (PCT) o di</t>
  </si>
  <si>
    <t xml:space="preserve">    rias; alimentos preparados para animales.....................................................   </t>
  </si>
  <si>
    <t xml:space="preserve">   feniles polibromados (PBB)……………………………….</t>
  </si>
  <si>
    <t xml:space="preserve"> Escorias granuladas (arena de  escorias), de la si-</t>
  </si>
  <si>
    <t>Los demás residuos de los aceites de petróleo o ……………………..</t>
  </si>
  <si>
    <t xml:space="preserve">    derurgia......................................................................................</t>
  </si>
  <si>
    <t xml:space="preserve">   de material bituminoso………………………………</t>
  </si>
  <si>
    <t xml:space="preserve">Cenizas y residuos, (excepto los de la siderurgia) 
    que contengan arsenico, metal o compuestos me- </t>
  </si>
  <si>
    <t>Desechos y desperdicios municipales……………….</t>
  </si>
  <si>
    <t>Lodos de depuración………………………………….</t>
  </si>
  <si>
    <t xml:space="preserve">    tálicos....................................................................................................</t>
  </si>
  <si>
    <t>Desechos clínicos……………………………………….</t>
  </si>
  <si>
    <t>Las demás escorias y cenizas, incluídas las ceni-
    zas de algas; cenizas y residuos procedentes de
    la incineración de desechos y desperdicios mu-</t>
  </si>
  <si>
    <t>Desechos de disolventes orgánicos halogenados…..</t>
  </si>
  <si>
    <t>Los demás desechos de disolventes orgánicos…….</t>
  </si>
  <si>
    <t>Los demás desechos de la industria química o de</t>
  </si>
  <si>
    <t xml:space="preserve">    nicipales......................................................................................</t>
  </si>
  <si>
    <t xml:space="preserve">   las industrias conexas que contengan principal-</t>
  </si>
  <si>
    <t xml:space="preserve">   clorados (PCB), terfenilos policlorados (PCT) o </t>
  </si>
  <si>
    <t xml:space="preserve">   difeniles polibromados (PBB)……………………………….</t>
  </si>
  <si>
    <t>Los demás desechos de aceites................................................</t>
  </si>
  <si>
    <t xml:space="preserve">   mente componentes orgánicos………………………</t>
  </si>
  <si>
    <t xml:space="preserve">Coque de petróleo, betún de petróleo y demás resi-
    duos de los aceites de petróleo o de materiales </t>
  </si>
  <si>
    <t xml:space="preserve">   las industrias conexas……………………………….</t>
  </si>
  <si>
    <t xml:space="preserve">    bituminosos......................................................................................</t>
  </si>
  <si>
    <t>Desperdicios y desechos de cobre………………………………………………….…………….…..</t>
  </si>
  <si>
    <t xml:space="preserve">Lejias residuales de la fabricación de pastas de celu-
    losa, aunque estén concentradas, desde azucara-
    radas o tratadas químicamente, incluidos los lig-
   </t>
  </si>
  <si>
    <t xml:space="preserve">    nosulfatos, excepto el tail oil, incluso refinado.....................................</t>
  </si>
  <si>
    <t>Productos residuales de la industria química o de
    las industrias conexas, no expresados ni com-
    prendidos en otra parte; desechos y desperdicios</t>
  </si>
  <si>
    <t>Desperdicios y desechos de níquel………………………………………………….…………….…..</t>
  </si>
  <si>
    <t>Desperdicios y desechos de aluminio………………….…..</t>
  </si>
  <si>
    <t>Desperdicios y desechos de plomo………………….…………………</t>
  </si>
  <si>
    <t xml:space="preserve">    municipales; lodos de depuración; etc....................................................................................................</t>
  </si>
  <si>
    <t>Desperdicios y desechos de estaño………………….…………………</t>
  </si>
  <si>
    <t>Desechos, recortes y desperdicios de plástico.....................</t>
  </si>
  <si>
    <t>Desperdicios y desechos de molibdeno………………….…………………</t>
  </si>
  <si>
    <t>Desechos, desperdicios y recortes, de caucho sin 
   endurecer, incluso en polvo o granulos</t>
  </si>
  <si>
    <t>Desperdicios y desechos de tantalio………………….…………………</t>
  </si>
  <si>
    <t xml:space="preserve">    endurecer, incluso en polvo o granulos....................................................................................................</t>
  </si>
  <si>
    <t>Desperdicios y desechos de magnesio………………….…………………</t>
  </si>
  <si>
    <t xml:space="preserve">Recortes y demás desperdicios de cuero o piel, pre-
    parados, o de cuero regenerado, no utilizables pa-
    ra la fabricación de manufacturas de cuero, ase-
    rrín, polvo y harina de cuero, excepto apergamina-
</t>
  </si>
  <si>
    <t>Desperdicios y desechos de cobalto………………….…………………</t>
  </si>
  <si>
    <t>Desperdicios y desechos de bismuto………………….…………………</t>
  </si>
  <si>
    <t>Desperdicios y desechos de cadmio………………….…………………</t>
  </si>
  <si>
    <t xml:space="preserve">    dos......................................................................................</t>
  </si>
  <si>
    <t>Desperdicios y desechos de titanio………………….…………………</t>
  </si>
  <si>
    <t>44013900</t>
  </si>
  <si>
    <t>Aserrín, desperdicios y desechos de madera, inclu-
    so aglomerados en leños, briquetas y formas simi-</t>
  </si>
  <si>
    <t xml:space="preserve">    lares......................................................................................</t>
  </si>
  <si>
    <t>45019000</t>
  </si>
  <si>
    <t>Desperdicios  de corcho, corcho triturado, granulado
   o pulverizado</t>
  </si>
  <si>
    <t xml:space="preserve">    o pulverizado............................................................................</t>
  </si>
  <si>
    <t xml:space="preserve">Pasta de fibras obtenidas de papel o cartón recicla-
dos (desperdicios y desechos) </t>
  </si>
  <si>
    <t>Desperdicios y desechos de antimonio………………….…………………</t>
  </si>
  <si>
    <t xml:space="preserve">    do (desperdicios y desechos)............................................................</t>
  </si>
  <si>
    <t>Desperdicios y desechos de manganeso………………….…………………</t>
  </si>
  <si>
    <t>Papel o cartón para reciclar (desperdicios y dese-
   chos)</t>
  </si>
  <si>
    <t>Desperdicios y desechos de talio………………….…………………</t>
  </si>
  <si>
    <t xml:space="preserve">    chos)......................................................................................</t>
  </si>
  <si>
    <t>50050000</t>
  </si>
  <si>
    <t xml:space="preserve">Hilados de desperdicios de seda  sin acondicionar
   para la venta al por menor 
</t>
  </si>
  <si>
    <t xml:space="preserve">    para la venta al por menor......................................................................................</t>
  </si>
  <si>
    <t>50060000</t>
  </si>
  <si>
    <t xml:space="preserve">Hilados de seda o de  desperdicios  de  seda, acon-
    dicionados para la venta al por menor; "pelo de 
    </t>
  </si>
  <si>
    <t xml:space="preserve">     mesina" (crin de florencia)......................................................................................</t>
  </si>
  <si>
    <t>50072000</t>
  </si>
  <si>
    <t xml:space="preserve">Los demás tejidos con un contenido de seda o de
   desperdicios  de  seda, distintos  de la borrilla, su-
   superior o igual al 85% en peso
</t>
  </si>
  <si>
    <t xml:space="preserve">    perior o igual al 85% en peso......................................................................................</t>
  </si>
  <si>
    <t xml:space="preserve">Desperdicios de algodón (incluidos los desperdicios
    de hilados y las hilachas)  </t>
  </si>
  <si>
    <t xml:space="preserve">    de hilados y las hilachas......................................................................................</t>
  </si>
  <si>
    <t>Estopas y desperdicios de lino........................................................................................</t>
  </si>
  <si>
    <t xml:space="preserve">Desperdicios de fibras sinteticas o artificiales (inclui-
   das las borras, los desperdicios de hilados y las </t>
  </si>
  <si>
    <t xml:space="preserve">   hilachas)......................................................................................</t>
  </si>
  <si>
    <t>Trapos, cordeles, cuerdas y cordajes de materia tex-</t>
  </si>
  <si>
    <t xml:space="preserve">    til, en desperdicios o en artículos inservibles......................................................................................</t>
  </si>
  <si>
    <t>Desperdicios y desechos de vidrio; vidrio en masa.....................................................</t>
  </si>
  <si>
    <t>Desperdicios y desechos de metal precioso o de 
    chapado de metal precioso (plaque); demás des-
    perdicios y desechos que contengan metal precio-
    so o compuesto de metal precioso; de los tipos 
    utilizados principalmente para la recuperación del</t>
  </si>
  <si>
    <t xml:space="preserve">    metal precioso......................................................................................</t>
  </si>
  <si>
    <t>Desperdicios y desechos (chatarra) de fundición, hie-</t>
  </si>
  <si>
    <t xml:space="preserve">    rro o acero; lingotes de chatarra de hierro o acero......................................................................................</t>
  </si>
  <si>
    <t>Desperdicios y desechos de cobre....................................</t>
  </si>
  <si>
    <t>Desperdicios y desechos de aluminio.................................</t>
  </si>
  <si>
    <t>79020000</t>
  </si>
  <si>
    <t>Desperdicios y desechos, de cinc………………………..</t>
  </si>
  <si>
    <t>Desperdicios y desechos de wolframio (tungsteno)………………….…………………</t>
  </si>
  <si>
    <t>Desperdicios y desechos de circonio………………….…………………</t>
  </si>
  <si>
    <t>Desperdicios y desechos de berilio………………….…………………</t>
  </si>
  <si>
    <t>Desperdicios y desechos de cromo………………….…………………</t>
  </si>
  <si>
    <t>81130010</t>
  </si>
  <si>
    <t>Desperdicios y desechos de "cermets"……………………..</t>
  </si>
  <si>
    <t>85423180</t>
  </si>
  <si>
    <t xml:space="preserve">Desperdicios y desechos de procesadores y contro-
    ladores, incluso combinados con memorias, con-
    vertidores, circuitos lógicos, amplificadores, relo- </t>
  </si>
  <si>
    <t xml:space="preserve">    jes y circuitos de sincronización u otros circuitos......................................................................................</t>
  </si>
  <si>
    <t>85423280</t>
  </si>
  <si>
    <t xml:space="preserve">Desperdicios y desechos de procesadores y con- </t>
  </si>
  <si>
    <t xml:space="preserve">   troladores, incluso combinados con memorias,</t>
  </si>
  <si>
    <t xml:space="preserve">   convertidores, circuitos lógicos, amplificadores, </t>
  </si>
  <si>
    <t xml:space="preserve">   relojes y circuitos de sincronización, u otros cir-</t>
  </si>
  <si>
    <t xml:space="preserve">   cuitos y memorias……………………………………………………</t>
  </si>
  <si>
    <t>85423380</t>
  </si>
  <si>
    <t xml:space="preserve">   cuitos de amplificadores……………………………………………………</t>
  </si>
  <si>
    <t>85423980</t>
  </si>
  <si>
    <t xml:space="preserve">Los demás  desperdicios  y  desechos  de procesa-
    dores y controladores, incluso combinados con
    memorias, convertidores, circuitos lógicos, ampli-
    ficadores, relojes y circuitos de sincronización u 
   </t>
  </si>
  <si>
    <t xml:space="preserve">    otros circuitos......................................................................................</t>
  </si>
  <si>
    <t xml:space="preserve">Desperdicios y desechos de pilas, baterías de pilas
    o acumuladores eléctricos; pilas, baterías de pi-
   </t>
  </si>
  <si>
    <t xml:space="preserve">    las y acumuladores eléctricos inservibles......................................................................................</t>
  </si>
  <si>
    <t>NOTA: Cambios en las cifras debido a la adición de otros incisos arancelarios relacionados con desperdicios y desechos.</t>
  </si>
  <si>
    <t>(a) Excluye el valor correspondiente al inciso arancelario 23090000 (Preparaciones de los tipos utilizadas para la alimentación de los animales).</t>
  </si>
  <si>
    <t>- Cantidad nula o cero.</t>
  </si>
  <si>
    <t>0.0 Cuando la cantidad es menor a la mitad de la unidad o fracción decimal adoptada para la expresión del dato.</t>
  </si>
  <si>
    <t>(P) Cifras preliminares.</t>
  </si>
  <si>
    <t>(R) Cifras revisadas.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</si>
</sst>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1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0" fillId="0" borderId="11" xfId="0" applyFill="1" applyBorder="1"/>
    <xf numFmtId="0" fontId="0" fillId="0" borderId="12" xfId="0" applyFill="1" applyBorder="1"/>
    <xf numFmtId="0" fontId="0" fillId="0" borderId="6" xfId="0" applyFill="1" applyBorder="1"/>
    <xf numFmtId="4" fontId="0" fillId="0" borderId="9" xfId="0" applyNumberFormat="1" applyFill="1" applyBorder="1"/>
    <xf numFmtId="0" fontId="0" fillId="0" borderId="7" xfId="0" applyFill="1" applyBorder="1"/>
    <xf numFmtId="0" fontId="0" fillId="0" borderId="7" xfId="0" applyFill="1" applyBorder="1" applyAlignment="1">
      <alignment horizontal="right"/>
    </xf>
    <xf numFmtId="0" fontId="0" fillId="0" borderId="9" xfId="0" applyFill="1" applyBorder="1"/>
    <xf numFmtId="0" fontId="0" fillId="0" borderId="2" xfId="0" applyFill="1" applyBorder="1"/>
    <xf numFmtId="0" fontId="2" fillId="0" borderId="0" xfId="0" applyFont="1" applyFill="1" applyBorder="1"/>
    <xf numFmtId="4" fontId="2" fillId="0" borderId="8" xfId="0" applyNumberFormat="1" applyFont="1" applyFill="1" applyBorder="1"/>
    <xf numFmtId="4" fontId="2" fillId="0" borderId="0" xfId="0" applyNumberFormat="1" applyFont="1" applyFill="1"/>
    <xf numFmtId="4" fontId="2" fillId="0" borderId="9" xfId="0" applyNumberFormat="1" applyFont="1" applyFill="1" applyBorder="1"/>
    <xf numFmtId="164" fontId="2" fillId="0" borderId="9" xfId="0" applyNumberFormat="1" applyFont="1" applyFill="1" applyBorder="1" applyAlignment="1"/>
    <xf numFmtId="0" fontId="3" fillId="0" borderId="8" xfId="0" applyFont="1" applyFill="1" applyBorder="1" applyAlignment="1">
      <alignment vertical="top" wrapText="1"/>
    </xf>
    <xf numFmtId="4" fontId="3" fillId="0" borderId="8" xfId="0" applyNumberFormat="1" applyFont="1" applyFill="1" applyBorder="1" applyAlignment="1">
      <alignment horizontal="center"/>
    </xf>
    <xf numFmtId="4" fontId="3" fillId="0" borderId="8" xfId="0" applyNumberFormat="1" applyFont="1" applyFill="1" applyBorder="1"/>
    <xf numFmtId="4" fontId="0" fillId="0" borderId="9" xfId="0" applyNumberFormat="1" applyFill="1" applyBorder="1" applyAlignment="1">
      <alignment horizontal="right"/>
    </xf>
    <xf numFmtId="164" fontId="0" fillId="0" borderId="9" xfId="0" applyNumberFormat="1" applyFill="1" applyBorder="1" applyAlignment="1"/>
    <xf numFmtId="0" fontId="3" fillId="0" borderId="8" xfId="0" applyFont="1" applyFill="1" applyBorder="1" applyAlignment="1">
      <alignment vertical="top"/>
    </xf>
    <xf numFmtId="4" fontId="0" fillId="0" borderId="8" xfId="0" applyNumberFormat="1" applyFill="1" applyBorder="1" applyAlignment="1">
      <alignment horizontal="right"/>
    </xf>
    <xf numFmtId="4" fontId="0" fillId="0" borderId="8" xfId="0" applyNumberFormat="1" applyFill="1" applyBorder="1"/>
    <xf numFmtId="4" fontId="1" fillId="0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/>
    <xf numFmtId="164" fontId="3" fillId="0" borderId="9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8" xfId="0" applyFill="1" applyBorder="1"/>
    <xf numFmtId="4" fontId="3" fillId="0" borderId="9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/>
    <xf numFmtId="164" fontId="0" fillId="0" borderId="9" xfId="0" applyNumberFormat="1" applyFill="1" applyBorder="1"/>
    <xf numFmtId="4" fontId="0" fillId="0" borderId="0" xfId="0" applyNumberFormat="1" applyFill="1"/>
    <xf numFmtId="0" fontId="2" fillId="0" borderId="0" xfId="0" applyFont="1" applyFill="1"/>
    <xf numFmtId="3" fontId="0" fillId="0" borderId="0" xfId="0" applyNumberFormat="1" applyFill="1"/>
    <xf numFmtId="3" fontId="5" fillId="0" borderId="0" xfId="0" applyNumberFormat="1" applyFont="1" applyFill="1"/>
    <xf numFmtId="4" fontId="0" fillId="0" borderId="0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4" fontId="0" fillId="0" borderId="0" xfId="0" applyNumberFormat="1" applyFill="1" applyBorder="1"/>
    <xf numFmtId="164" fontId="4" fillId="0" borderId="8" xfId="0" applyNumberFormat="1" applyFont="1" applyFill="1" applyBorder="1" applyAlignment="1">
      <alignment vertical="center"/>
    </xf>
    <xf numFmtId="164" fontId="0" fillId="0" borderId="8" xfId="0" applyNumberFormat="1" applyFill="1" applyBorder="1" applyAlignment="1">
      <alignment vertical="center"/>
    </xf>
    <xf numFmtId="164" fontId="0" fillId="0" borderId="9" xfId="0" applyNumberFormat="1" applyFill="1" applyBorder="1" applyAlignment="1">
      <alignment vertical="center"/>
    </xf>
    <xf numFmtId="164" fontId="4" fillId="0" borderId="9" xfId="0" applyNumberFormat="1" applyFont="1" applyFill="1" applyBorder="1" applyAlignment="1"/>
    <xf numFmtId="0" fontId="3" fillId="0" borderId="8" xfId="0" applyFont="1" applyFill="1" applyBorder="1"/>
    <xf numFmtId="164" fontId="4" fillId="0" borderId="9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164" fontId="3" fillId="0" borderId="8" xfId="0" applyNumberFormat="1" applyFont="1" applyFill="1" applyBorder="1" applyAlignment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vertical="top"/>
    </xf>
    <xf numFmtId="0" fontId="0" fillId="0" borderId="0" xfId="0" applyFill="1" applyBorder="1"/>
    <xf numFmtId="0" fontId="4" fillId="0" borderId="0" xfId="0" applyFont="1" applyFill="1" applyBorder="1" applyAlignment="1">
      <alignment horizontal="left" vertical="top" wrapText="1" readingOrder="1"/>
    </xf>
    <xf numFmtId="3" fontId="5" fillId="0" borderId="0" xfId="0" applyNumberFormat="1" applyFont="1" applyFill="1" applyBorder="1" applyAlignment="1">
      <alignment horizontal="right" vertical="top" wrapText="1"/>
    </xf>
    <xf numFmtId="4" fontId="3" fillId="0" borderId="8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top" wrapText="1" readingOrder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/>
    <xf numFmtId="49" fontId="3" fillId="0" borderId="0" xfId="0" applyNumberFormat="1" applyFont="1" applyFill="1" applyAlignment="1">
      <alignment horizontal="right" vertical="top"/>
    </xf>
    <xf numFmtId="49" fontId="3" fillId="0" borderId="0" xfId="0" applyNumberFormat="1" applyFont="1" applyFill="1" applyAlignment="1">
      <alignment horizontal="right"/>
    </xf>
    <xf numFmtId="0" fontId="0" fillId="0" borderId="8" xfId="0" applyFill="1" applyBorder="1" applyAlignment="1">
      <alignment vertical="top" wrapText="1"/>
    </xf>
    <xf numFmtId="164" fontId="3" fillId="0" borderId="8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wrapText="1"/>
    </xf>
    <xf numFmtId="164" fontId="4" fillId="0" borderId="8" xfId="0" applyNumberFormat="1" applyFont="1" applyFill="1" applyBorder="1" applyAlignment="1"/>
    <xf numFmtId="164" fontId="0" fillId="0" borderId="8" xfId="0" applyNumberFormat="1" applyFill="1" applyBorder="1" applyAlignment="1"/>
    <xf numFmtId="0" fontId="3" fillId="0" borderId="0" xfId="0" applyFont="1" applyFill="1" applyBorder="1"/>
    <xf numFmtId="0" fontId="3" fillId="0" borderId="9" xfId="0" applyFont="1" applyFill="1" applyBorder="1"/>
    <xf numFmtId="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49" fontId="3" fillId="0" borderId="8" xfId="0" applyNumberFormat="1" applyFont="1" applyFill="1" applyBorder="1" applyAlignment="1"/>
    <xf numFmtId="49" fontId="3" fillId="0" borderId="0" xfId="0" applyNumberFormat="1" applyFont="1" applyFill="1"/>
    <xf numFmtId="164" fontId="3" fillId="0" borderId="9" xfId="0" applyNumberFormat="1" applyFont="1" applyFill="1" applyBorder="1" applyAlignment="1">
      <alignment vertical="top"/>
    </xf>
    <xf numFmtId="164" fontId="3" fillId="0" borderId="9" xfId="0" applyNumberFormat="1" applyFont="1" applyFill="1" applyBorder="1"/>
    <xf numFmtId="0" fontId="0" fillId="0" borderId="10" xfId="0" applyFill="1" applyBorder="1"/>
    <xf numFmtId="0" fontId="0" fillId="0" borderId="4" xfId="0" applyFill="1" applyBorder="1"/>
    <xf numFmtId="4" fontId="0" fillId="0" borderId="3" xfId="0" applyNumberFormat="1" applyFill="1" applyBorder="1"/>
    <xf numFmtId="0" fontId="0" fillId="0" borderId="3" xfId="0" applyFill="1" applyBorder="1"/>
    <xf numFmtId="4" fontId="3" fillId="0" borderId="4" xfId="0" applyNumberFormat="1" applyFont="1" applyFill="1" applyBorder="1" applyAlignment="1">
      <alignment horizontal="right"/>
    </xf>
    <xf numFmtId="0" fontId="3" fillId="0" borderId="3" xfId="0" applyFont="1" applyFill="1" applyBorder="1"/>
    <xf numFmtId="4" fontId="3" fillId="0" borderId="3" xfId="0" applyNumberFormat="1" applyFont="1" applyFill="1" applyBorder="1" applyAlignment="1">
      <alignment horizontal="right"/>
    </xf>
    <xf numFmtId="164" fontId="3" fillId="0" borderId="4" xfId="0" applyNumberFormat="1" applyFont="1" applyFill="1" applyBorder="1"/>
    <xf numFmtId="164" fontId="0" fillId="0" borderId="4" xfId="0" applyNumberFormat="1" applyFill="1" applyBorder="1"/>
    <xf numFmtId="164" fontId="0" fillId="0" borderId="0" xfId="0" applyNumberFormat="1" applyFill="1"/>
    <xf numFmtId="164" fontId="0" fillId="0" borderId="0" xfId="0" applyNumberFormat="1" applyFill="1" applyBorder="1"/>
    <xf numFmtId="49" fontId="0" fillId="0" borderId="0" xfId="0" applyNumberFormat="1" applyFill="1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top"/>
    </xf>
    <xf numFmtId="164" fontId="4" fillId="0" borderId="8" xfId="0" applyNumberFormat="1" applyFont="1" applyFill="1" applyBorder="1" applyAlignment="1"/>
    <xf numFmtId="0" fontId="0" fillId="0" borderId="8" xfId="0" applyFill="1" applyBorder="1" applyAlignment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top"/>
    </xf>
    <xf numFmtId="0" fontId="3" fillId="0" borderId="8" xfId="0" applyFont="1" applyFill="1" applyBorder="1" applyAlignment="1">
      <alignment vertical="top" wrapText="1"/>
    </xf>
    <xf numFmtId="164" fontId="3" fillId="0" borderId="8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164" fontId="0" fillId="0" borderId="9" xfId="0" applyNumberFormat="1" applyFill="1" applyBorder="1" applyAlignment="1"/>
    <xf numFmtId="164" fontId="3" fillId="0" borderId="8" xfId="0" applyNumberFormat="1" applyFont="1" applyFill="1" applyBorder="1" applyAlignment="1"/>
    <xf numFmtId="164" fontId="4" fillId="0" borderId="8" xfId="0" applyNumberFormat="1" applyFont="1" applyFill="1" applyBorder="1" applyAlignment="1">
      <alignment wrapText="1"/>
    </xf>
    <xf numFmtId="164" fontId="0" fillId="0" borderId="8" xfId="0" applyNumberFormat="1" applyFill="1" applyBorder="1" applyAlignment="1"/>
    <xf numFmtId="164" fontId="0" fillId="0" borderId="8" xfId="0" applyNumberForma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4" fontId="0" fillId="0" borderId="9" xfId="0" applyNumberFormat="1" applyFill="1" applyBorder="1"/>
    <xf numFmtId="164" fontId="3" fillId="0" borderId="9" xfId="0" applyNumberFormat="1" applyFont="1" applyFill="1" applyBorder="1"/>
    <xf numFmtId="0" fontId="6" fillId="0" borderId="0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right" vertical="top"/>
    </xf>
    <xf numFmtId="49" fontId="3" fillId="0" borderId="8" xfId="0" applyNumberFormat="1" applyFont="1" applyFill="1" applyBorder="1" applyAlignment="1">
      <alignment vertical="top" wrapText="1"/>
    </xf>
    <xf numFmtId="164" fontId="4" fillId="0" borderId="9" xfId="0" applyNumberFormat="1" applyFont="1" applyFill="1" applyBorder="1" applyAlignment="1">
      <alignment horizontal="right" wrapText="1"/>
    </xf>
    <xf numFmtId="49" fontId="3" fillId="0" borderId="0" xfId="0" applyNumberFormat="1" applyFont="1" applyFill="1" applyAlignment="1">
      <alignment horizontal="right" vertical="top"/>
    </xf>
    <xf numFmtId="164" fontId="3" fillId="0" borderId="9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vertical="top"/>
    </xf>
    <xf numFmtId="164" fontId="4" fillId="0" borderId="8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EXPORTACIÓN E IMPORTACIÓN DE DESECHOS Y RESIDUOS A LA REPÚBLICA: AÑOS 2013-17</a:t>
            </a:r>
          </a:p>
        </c:rich>
      </c:tx>
      <c:layout>
        <c:manualLayout>
          <c:xMode val="edge"/>
          <c:yMode val="edge"/>
          <c:x val="0.15657524981176399"/>
          <c:y val="5.807249300449020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65927334447862"/>
          <c:y val="0.12371141623825958"/>
          <c:w val="0.76911600531472935"/>
          <c:h val="0.6618556701030941"/>
        </c:manualLayout>
      </c:layout>
      <c:lineChart>
        <c:grouping val="standard"/>
        <c:ser>
          <c:idx val="0"/>
          <c:order val="0"/>
          <c:tx>
            <c:strRef>
              <c:f>[1]graficas!$A$131</c:f>
              <c:strCache>
                <c:ptCount val="1"/>
                <c:pt idx="0">
                  <c:v>Exportación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[1]graficas!$A$139:$A$143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[1]graficas!$C$139:$C$143</c:f>
              <c:numCache>
                <c:formatCode>General</c:formatCode>
                <c:ptCount val="5"/>
                <c:pt idx="0">
                  <c:v>392629.9</c:v>
                </c:pt>
                <c:pt idx="1">
                  <c:v>401045.5</c:v>
                </c:pt>
                <c:pt idx="2">
                  <c:v>273468.09999999998</c:v>
                </c:pt>
                <c:pt idx="3">
                  <c:v>294808</c:v>
                </c:pt>
                <c:pt idx="4">
                  <c:v>417044</c:v>
                </c:pt>
              </c:numCache>
            </c:numRef>
          </c:val>
        </c:ser>
        <c:ser>
          <c:idx val="1"/>
          <c:order val="1"/>
          <c:tx>
            <c:strRef>
              <c:f>[1]graficas!$A$130</c:f>
              <c:strCache>
                <c:ptCount val="1"/>
                <c:pt idx="0">
                  <c:v>Importación</c:v>
                </c:pt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[1]graficas!$A$139:$A$143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[1]graficas!$B$139:$B$143</c:f>
              <c:numCache>
                <c:formatCode>General</c:formatCode>
                <c:ptCount val="5"/>
                <c:pt idx="0">
                  <c:v>359599.5</c:v>
                </c:pt>
                <c:pt idx="1">
                  <c:v>367215.2</c:v>
                </c:pt>
                <c:pt idx="2">
                  <c:v>382990.7</c:v>
                </c:pt>
                <c:pt idx="3">
                  <c:v>384223.1</c:v>
                </c:pt>
                <c:pt idx="4">
                  <c:v>285671</c:v>
                </c:pt>
              </c:numCache>
            </c:numRef>
          </c:val>
        </c:ser>
        <c:marker val="1"/>
        <c:axId val="42667008"/>
        <c:axId val="45565824"/>
      </c:lineChart>
      <c:catAx>
        <c:axId val="42667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1718032814779835"/>
              <c:y val="0.8625487516539772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565824"/>
        <c:crosses val="autoZero"/>
        <c:auto val="1"/>
        <c:lblAlgn val="ctr"/>
        <c:lblOffset val="100"/>
        <c:tickLblSkip val="1"/>
        <c:tickMarkSkip val="1"/>
      </c:catAx>
      <c:valAx>
        <c:axId val="45565824"/>
        <c:scaling>
          <c:orientation val="minMax"/>
          <c:max val="490000"/>
          <c:min val="190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Toneladas métricas</a:t>
                </a:r>
              </a:p>
            </c:rich>
          </c:tx>
          <c:layout>
            <c:manualLayout>
              <c:xMode val="edge"/>
              <c:yMode val="edge"/>
              <c:x val="3.8774188882791591E-2"/>
              <c:y val="0.303092774560205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670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363064017321982"/>
          <c:y val="0.91683846337389641"/>
          <c:w val="0.51833450316279339"/>
          <c:h val="4.9484392963276384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131</xdr:row>
      <xdr:rowOff>114300</xdr:rowOff>
    </xdr:from>
    <xdr:to>
      <xdr:col>17</xdr:col>
      <xdr:colOff>28575</xdr:colOff>
      <xdr:row>160</xdr:row>
      <xdr:rowOff>28575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3-17/ACCP%202013-17%202018/CAP&#205;TULO%20IX%20DESECHOS%20Y%20RESIDUOS%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ficas"/>
      <sheetName val="45-46"/>
      <sheetName val="47"/>
      <sheetName val="48"/>
      <sheetName val="tabla"/>
      <sheetName val="no van"/>
      <sheetName val="X.1.4"/>
      <sheetName val="X.1.3"/>
      <sheetName val="X.2.1"/>
      <sheetName val="X.2.1 (2)"/>
    </sheetNames>
    <sheetDataSet>
      <sheetData sheetId="0">
        <row r="130">
          <cell r="A130" t="str">
            <v>Importación</v>
          </cell>
        </row>
        <row r="131">
          <cell r="A131" t="str">
            <v>Exportación</v>
          </cell>
        </row>
        <row r="139">
          <cell r="A139">
            <v>2013</v>
          </cell>
          <cell r="B139">
            <v>359599.5</v>
          </cell>
          <cell r="C139">
            <v>392629.9</v>
          </cell>
        </row>
        <row r="140">
          <cell r="A140">
            <v>2014</v>
          </cell>
          <cell r="B140">
            <v>367215.2</v>
          </cell>
          <cell r="C140">
            <v>401045.5</v>
          </cell>
        </row>
        <row r="141">
          <cell r="A141">
            <v>2015</v>
          </cell>
          <cell r="B141">
            <v>382990.7</v>
          </cell>
          <cell r="C141">
            <v>273468.09999999998</v>
          </cell>
        </row>
        <row r="142">
          <cell r="A142" t="str">
            <v>2016 (R)</v>
          </cell>
          <cell r="B142">
            <v>384223.1</v>
          </cell>
          <cell r="C142">
            <v>294808</v>
          </cell>
        </row>
        <row r="143">
          <cell r="A143" t="str">
            <v>2017 (P)</v>
          </cell>
          <cell r="B143">
            <v>285671</v>
          </cell>
          <cell r="C143">
            <v>417044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AI165"/>
  <sheetViews>
    <sheetView showGridLines="0" tabSelected="1" topLeftCell="A77" zoomScaleSheetLayoutView="91" workbookViewId="0">
      <selection activeCell="S160" sqref="S160"/>
    </sheetView>
  </sheetViews>
  <sheetFormatPr baseColWidth="10" defaultRowHeight="12.75"/>
  <cols>
    <col min="1" max="1" width="16.7109375" style="1" customWidth="1"/>
    <col min="2" max="2" width="44.28515625" style="1" customWidth="1"/>
    <col min="3" max="6" width="11.7109375" style="1" hidden="1" customWidth="1"/>
    <col min="7" max="7" width="0.5703125" style="1" hidden="1" customWidth="1"/>
    <col min="8" max="8" width="11.7109375" style="1" hidden="1" customWidth="1"/>
    <col min="9" max="13" width="10.7109375" style="1" hidden="1" customWidth="1"/>
    <col min="14" max="14" width="18.28515625" style="30" hidden="1" customWidth="1"/>
    <col min="15" max="18" width="16" style="1" customWidth="1"/>
    <col min="19" max="19" width="16" style="52" customWidth="1"/>
    <col min="20" max="20" width="13.42578125" style="1" customWidth="1"/>
    <col min="21" max="21" width="11.85546875" style="1" bestFit="1" customWidth="1"/>
    <col min="22" max="22" width="15.7109375" style="1" bestFit="1" customWidth="1"/>
    <col min="23" max="23" width="12.5703125" style="1" bestFit="1" customWidth="1"/>
    <col min="24" max="24" width="12" style="1" bestFit="1" customWidth="1"/>
    <col min="25" max="16384" width="11.42578125" style="1"/>
  </cols>
  <sheetData>
    <row r="1" spans="1:35" ht="12.75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35" ht="23.25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6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</row>
    <row r="4" spans="1:35" ht="30" customHeight="1">
      <c r="A4" s="95" t="s">
        <v>1</v>
      </c>
      <c r="B4" s="97" t="s">
        <v>2</v>
      </c>
      <c r="C4" s="3"/>
      <c r="D4" s="3"/>
      <c r="E4" s="3"/>
      <c r="F4" s="3"/>
      <c r="G4" s="3"/>
      <c r="H4" s="4"/>
      <c r="I4" s="5"/>
      <c r="J4" s="5"/>
      <c r="K4" s="5"/>
      <c r="L4" s="5"/>
      <c r="M4" s="100" t="s">
        <v>3</v>
      </c>
      <c r="N4" s="100"/>
      <c r="O4" s="100"/>
      <c r="P4" s="100"/>
      <c r="Q4" s="100"/>
      <c r="R4" s="100"/>
      <c r="S4" s="100"/>
    </row>
    <row r="5" spans="1:35" ht="12.75" customHeight="1">
      <c r="A5" s="95"/>
      <c r="B5" s="98"/>
      <c r="C5" s="101">
        <v>2000</v>
      </c>
      <c r="D5" s="101">
        <v>2001</v>
      </c>
      <c r="E5" s="101">
        <v>2002</v>
      </c>
      <c r="F5" s="101">
        <v>2003</v>
      </c>
      <c r="G5" s="101">
        <v>2004</v>
      </c>
      <c r="H5" s="101">
        <v>2005</v>
      </c>
      <c r="I5" s="101">
        <v>2006</v>
      </c>
      <c r="J5" s="101">
        <v>2007</v>
      </c>
      <c r="K5" s="101">
        <v>2008</v>
      </c>
      <c r="L5" s="107">
        <v>2009</v>
      </c>
      <c r="M5" s="108">
        <v>2011</v>
      </c>
      <c r="N5" s="108">
        <v>2012</v>
      </c>
      <c r="O5" s="102">
        <v>2013</v>
      </c>
      <c r="P5" s="102">
        <v>2014</v>
      </c>
      <c r="Q5" s="102">
        <v>2015</v>
      </c>
      <c r="R5" s="102" t="s">
        <v>4</v>
      </c>
      <c r="S5" s="102" t="s">
        <v>5</v>
      </c>
    </row>
    <row r="6" spans="1:35" ht="12.75" customHeight="1">
      <c r="A6" s="96"/>
      <c r="B6" s="99"/>
      <c r="C6" s="97"/>
      <c r="D6" s="97"/>
      <c r="E6" s="97"/>
      <c r="F6" s="97"/>
      <c r="G6" s="97"/>
      <c r="H6" s="97"/>
      <c r="I6" s="97"/>
      <c r="J6" s="97"/>
      <c r="K6" s="97"/>
      <c r="L6" s="103"/>
      <c r="M6" s="97"/>
      <c r="N6" s="97"/>
      <c r="O6" s="103"/>
      <c r="P6" s="103"/>
      <c r="Q6" s="103"/>
      <c r="R6" s="103"/>
      <c r="S6" s="103"/>
    </row>
    <row r="7" spans="1: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9"/>
      <c r="M7" s="10"/>
      <c r="N7" s="11"/>
      <c r="O7" s="10"/>
      <c r="P7" s="10"/>
      <c r="Q7" s="12"/>
      <c r="R7" s="12"/>
      <c r="S7" s="10"/>
    </row>
    <row r="8" spans="1:35" ht="12.75" customHeight="1">
      <c r="A8" s="13"/>
      <c r="B8" s="14" t="s">
        <v>6</v>
      </c>
      <c r="C8" s="15">
        <f t="shared" ref="C8:L8" si="0">SUM(C9:C120)</f>
        <v>121499.397</v>
      </c>
      <c r="D8" s="15">
        <f t="shared" si="0"/>
        <v>125600.77600000003</v>
      </c>
      <c r="E8" s="15">
        <f t="shared" si="0"/>
        <v>149236.55100000004</v>
      </c>
      <c r="F8" s="15">
        <f t="shared" si="0"/>
        <v>179943.85700000002</v>
      </c>
      <c r="G8" s="16">
        <f t="shared" si="0"/>
        <v>190967.99200000003</v>
      </c>
      <c r="H8" s="17">
        <f t="shared" si="0"/>
        <v>163816.49400000004</v>
      </c>
      <c r="I8" s="17">
        <f t="shared" si="0"/>
        <v>220165.20599999998</v>
      </c>
      <c r="J8" s="17">
        <f t="shared" si="0"/>
        <v>275292.82799999998</v>
      </c>
      <c r="K8" s="17">
        <f t="shared" si="0"/>
        <v>284965.87600000011</v>
      </c>
      <c r="L8" s="17">
        <f t="shared" si="0"/>
        <v>217603.742</v>
      </c>
      <c r="M8" s="18" t="e">
        <f>M10+M12+M14+M17+M21+M25+M28+M36+M37+M39+#REF!+M53+M55+M61+M63+M69+M70+#REF!+M80</f>
        <v>#REF!</v>
      </c>
      <c r="N8" s="18">
        <f>N9+N11+N13+N25+N26+N33+N37+N38+N40+N45+N48+N52+N54+N59+N62+N65+N68+N78+N79+N80</f>
        <v>362327.54700000008</v>
      </c>
      <c r="O8" s="18">
        <f>SUM(O9:O121)</f>
        <v>359599.46899999998</v>
      </c>
      <c r="P8" s="18">
        <f>SUM(P9:P121)</f>
        <v>367215.15600000008</v>
      </c>
      <c r="Q8" s="18">
        <f>SUM(Q9:Q121)</f>
        <v>382990.67499999999</v>
      </c>
      <c r="R8" s="18">
        <f>SUM(R9:R121)</f>
        <v>384223.09899999999</v>
      </c>
      <c r="S8" s="18">
        <f>SUM(S9:S121)</f>
        <v>285670.96209999989</v>
      </c>
    </row>
    <row r="9" spans="1:35" ht="12.75" customHeight="1">
      <c r="A9" s="104">
        <v>15220090</v>
      </c>
      <c r="B9" s="19" t="s">
        <v>7</v>
      </c>
      <c r="C9" s="20"/>
      <c r="D9" s="21"/>
      <c r="E9" s="20"/>
      <c r="F9" s="20"/>
      <c r="G9" s="12"/>
      <c r="H9" s="12"/>
      <c r="I9" s="12"/>
      <c r="J9" s="12"/>
      <c r="K9" s="12"/>
      <c r="L9" s="22"/>
      <c r="M9" s="23"/>
      <c r="N9" s="105">
        <f>32646/1000</f>
        <v>32.646000000000001</v>
      </c>
      <c r="O9" s="105">
        <f>30667/1000</f>
        <v>30.667000000000002</v>
      </c>
      <c r="P9" s="105">
        <f>51585/1000</f>
        <v>51.585000000000001</v>
      </c>
      <c r="Q9" s="106">
        <f>5400/1000</f>
        <v>5.4</v>
      </c>
      <c r="R9" s="113">
        <f>52/1000</f>
        <v>5.1999999999999998E-2</v>
      </c>
      <c r="S9" s="12"/>
    </row>
    <row r="10" spans="1:35" ht="12.75" customHeight="1">
      <c r="A10" s="104"/>
      <c r="B10" s="24" t="s">
        <v>8</v>
      </c>
      <c r="C10" s="25" t="s">
        <v>9</v>
      </c>
      <c r="D10" s="26">
        <v>3.5000000000000003E-2</v>
      </c>
      <c r="E10" s="25" t="s">
        <v>9</v>
      </c>
      <c r="F10" s="25" t="s">
        <v>9</v>
      </c>
      <c r="G10" s="22" t="s">
        <v>9</v>
      </c>
      <c r="H10" s="22" t="s">
        <v>9</v>
      </c>
      <c r="I10" s="22" t="s">
        <v>9</v>
      </c>
      <c r="J10" s="22" t="s">
        <v>9</v>
      </c>
      <c r="K10" s="22">
        <v>17.068999999999999</v>
      </c>
      <c r="L10" s="27">
        <v>22.327000000000002</v>
      </c>
      <c r="M10" s="28">
        <v>70.361000000000004</v>
      </c>
      <c r="N10" s="105"/>
      <c r="O10" s="105"/>
      <c r="P10" s="105"/>
      <c r="Q10" s="106"/>
      <c r="R10" s="113"/>
      <c r="S10" s="29" t="s">
        <v>9</v>
      </c>
      <c r="Z10" s="30">
        <v>271091</v>
      </c>
      <c r="AA10" s="31" t="s">
        <v>10</v>
      </c>
    </row>
    <row r="11" spans="1:35" ht="12.75" customHeight="1">
      <c r="A11" s="104" t="s">
        <v>11</v>
      </c>
      <c r="B11" s="19" t="s">
        <v>12</v>
      </c>
      <c r="C11" s="26"/>
      <c r="D11" s="26"/>
      <c r="E11" s="26"/>
      <c r="F11" s="26"/>
      <c r="G11" s="12"/>
      <c r="H11" s="12"/>
      <c r="I11" s="12"/>
      <c r="J11" s="12"/>
      <c r="K11" s="12"/>
      <c r="L11" s="32"/>
      <c r="M11" s="33"/>
      <c r="N11" s="114">
        <f>181580509/1000</f>
        <v>181580.50899999999</v>
      </c>
      <c r="O11" s="115">
        <f>(233895756-51367491)/1000</f>
        <v>182528.26500000001</v>
      </c>
      <c r="P11" s="115">
        <f>(260511055-62241601)/1000</f>
        <v>198269.454</v>
      </c>
      <c r="Q11" s="116">
        <f>205633814/1000</f>
        <v>205633.81400000001</v>
      </c>
      <c r="R11" s="113">
        <f>(290037673-55962073)/1000</f>
        <v>234075.6</v>
      </c>
      <c r="S11" s="34"/>
      <c r="T11" s="35"/>
      <c r="U11" s="36"/>
      <c r="V11" s="37"/>
      <c r="W11" s="38"/>
      <c r="X11" s="38"/>
      <c r="Z11" s="30"/>
      <c r="AA11" s="31" t="s">
        <v>13</v>
      </c>
    </row>
    <row r="12" spans="1:35" ht="12.75" customHeight="1">
      <c r="A12" s="104"/>
      <c r="B12" s="24" t="s">
        <v>14</v>
      </c>
      <c r="C12" s="26">
        <f>135450.996-29482.508</f>
        <v>105968.48800000001</v>
      </c>
      <c r="D12" s="26">
        <f>136007.876-23840.737</f>
        <v>112167.139</v>
      </c>
      <c r="E12" s="26">
        <f>152610.002-22237.692</f>
        <v>130372.31000000001</v>
      </c>
      <c r="F12" s="26">
        <f>161257.336-25405.884</f>
        <v>135851.45200000002</v>
      </c>
      <c r="G12" s="22">
        <v>146003.144</v>
      </c>
      <c r="H12" s="22">
        <v>142038.96100000001</v>
      </c>
      <c r="I12" s="22">
        <v>138092.41399999999</v>
      </c>
      <c r="J12" s="22">
        <v>179697.361</v>
      </c>
      <c r="K12" s="22">
        <v>172139.27100000001</v>
      </c>
      <c r="L12" s="32">
        <f>198668.574-40427.663</f>
        <v>158240.91099999999</v>
      </c>
      <c r="M12" s="33">
        <v>193796.60699999999</v>
      </c>
      <c r="N12" s="114"/>
      <c r="O12" s="115"/>
      <c r="P12" s="115"/>
      <c r="Q12" s="116"/>
      <c r="R12" s="113"/>
      <c r="S12" s="34">
        <f>(591440+76232+103494+873+1862424+778266+42550+230000+654642+823316+177034030+10935655+1452+1037530+17166695)/1000</f>
        <v>211338.59899999999</v>
      </c>
      <c r="T12" s="39"/>
      <c r="U12" s="36"/>
      <c r="W12" s="38"/>
      <c r="X12" s="38"/>
      <c r="Z12" s="30"/>
      <c r="AA12" s="31" t="s">
        <v>15</v>
      </c>
    </row>
    <row r="13" spans="1:35" ht="12.75" customHeight="1">
      <c r="A13" s="109">
        <v>26180000</v>
      </c>
      <c r="B13" s="19" t="s">
        <v>16</v>
      </c>
      <c r="C13" s="21"/>
      <c r="D13" s="21"/>
      <c r="F13" s="21"/>
      <c r="G13" s="12"/>
      <c r="H13" s="12"/>
      <c r="I13" s="12"/>
      <c r="J13" s="12"/>
      <c r="K13" s="12"/>
      <c r="L13" s="32"/>
      <c r="M13" s="33"/>
      <c r="N13" s="42"/>
      <c r="P13" s="12"/>
      <c r="Q13" s="12"/>
      <c r="R13" s="12"/>
      <c r="S13" s="34"/>
      <c r="T13" s="35"/>
      <c r="W13" s="37"/>
      <c r="X13" s="37"/>
      <c r="Z13" s="30">
        <v>271390</v>
      </c>
      <c r="AA13" s="31" t="s">
        <v>17</v>
      </c>
    </row>
    <row r="14" spans="1:35" ht="12.75" customHeight="1">
      <c r="A14" s="109"/>
      <c r="B14" s="24" t="s">
        <v>18</v>
      </c>
      <c r="C14" s="26">
        <v>335.59300000000002</v>
      </c>
      <c r="D14" s="26">
        <v>3524.0540000000001</v>
      </c>
      <c r="E14" s="26">
        <v>420.45600000000002</v>
      </c>
      <c r="F14" s="26">
        <v>28206.857</v>
      </c>
      <c r="G14" s="22">
        <v>29239.874</v>
      </c>
      <c r="H14" s="22">
        <v>4797.2370000000001</v>
      </c>
      <c r="I14" s="22">
        <v>68195.179999999993</v>
      </c>
      <c r="J14" s="22">
        <v>79377.356</v>
      </c>
      <c r="K14" s="22">
        <v>93062.407999999996</v>
      </c>
      <c r="L14" s="32">
        <v>43893.358</v>
      </c>
      <c r="M14" s="33">
        <v>17814.815999999999</v>
      </c>
      <c r="N14" s="42">
        <f>34011642/1000</f>
        <v>34011.642</v>
      </c>
      <c r="O14" s="42">
        <f>1228547/1000</f>
        <v>1228.547</v>
      </c>
      <c r="P14" s="42">
        <f>1282891/1000</f>
        <v>1282.8910000000001</v>
      </c>
      <c r="Q14" s="43">
        <f>1883960/1000</f>
        <v>1883.96</v>
      </c>
      <c r="R14" s="44">
        <f>1306480/100</f>
        <v>13064.8</v>
      </c>
      <c r="S14" s="34">
        <f>2153960/1000</f>
        <v>2153.96</v>
      </c>
      <c r="U14" s="37"/>
      <c r="Z14" s="30"/>
      <c r="AA14" s="31" t="s">
        <v>19</v>
      </c>
    </row>
    <row r="15" spans="1:35" ht="12.75" customHeight="1">
      <c r="A15" s="109">
        <v>26200000</v>
      </c>
      <c r="B15" s="110" t="s">
        <v>20</v>
      </c>
      <c r="C15" s="26"/>
      <c r="D15" s="26"/>
      <c r="E15" s="26"/>
      <c r="F15" s="26"/>
      <c r="G15" s="12"/>
      <c r="H15" s="12"/>
      <c r="I15" s="12"/>
      <c r="J15" s="12"/>
      <c r="K15" s="12"/>
      <c r="L15" s="32"/>
      <c r="M15" s="33"/>
      <c r="N15" s="111" t="s">
        <v>9</v>
      </c>
      <c r="O15" s="112" t="s">
        <v>9</v>
      </c>
      <c r="P15" s="105">
        <f>83460/1000</f>
        <v>83.46</v>
      </c>
      <c r="Q15" s="117" t="s">
        <v>9</v>
      </c>
      <c r="R15" s="118">
        <f>10/1000</f>
        <v>0.01</v>
      </c>
      <c r="S15" s="34"/>
      <c r="U15" s="37"/>
      <c r="Z15" s="30">
        <v>382510</v>
      </c>
      <c r="AA15" s="31" t="s">
        <v>21</v>
      </c>
    </row>
    <row r="16" spans="1:35" ht="12.75" customHeight="1">
      <c r="A16" s="109"/>
      <c r="B16" s="110"/>
      <c r="C16" s="26"/>
      <c r="D16" s="26"/>
      <c r="E16" s="26"/>
      <c r="F16" s="26"/>
      <c r="G16" s="22"/>
      <c r="H16" s="22"/>
      <c r="I16" s="22"/>
      <c r="J16" s="22"/>
      <c r="K16" s="22"/>
      <c r="L16" s="32"/>
      <c r="M16" s="33"/>
      <c r="N16" s="111"/>
      <c r="O16" s="112"/>
      <c r="P16" s="105"/>
      <c r="Q16" s="117"/>
      <c r="R16" s="118"/>
      <c r="S16" s="34"/>
      <c r="U16" s="37"/>
      <c r="Z16" s="30">
        <v>382520</v>
      </c>
      <c r="AA16" s="31" t="s">
        <v>22</v>
      </c>
    </row>
    <row r="17" spans="1:27" ht="12.75" customHeight="1">
      <c r="A17" s="109"/>
      <c r="B17" s="46" t="s">
        <v>23</v>
      </c>
      <c r="C17" s="25" t="s">
        <v>9</v>
      </c>
      <c r="D17" s="25" t="s">
        <v>9</v>
      </c>
      <c r="E17" s="25" t="s">
        <v>9</v>
      </c>
      <c r="F17" s="25" t="s">
        <v>9</v>
      </c>
      <c r="G17" s="22" t="s">
        <v>9</v>
      </c>
      <c r="H17" s="22" t="s">
        <v>9</v>
      </c>
      <c r="I17" s="22" t="s">
        <v>9</v>
      </c>
      <c r="J17" s="22" t="s">
        <v>9</v>
      </c>
      <c r="K17" s="22">
        <v>59.081000000000003</v>
      </c>
      <c r="L17" s="32">
        <v>25</v>
      </c>
      <c r="M17" s="33">
        <f>16/1000</f>
        <v>1.6E-2</v>
      </c>
      <c r="N17" s="111"/>
      <c r="O17" s="112"/>
      <c r="P17" s="105"/>
      <c r="Q17" s="117"/>
      <c r="R17" s="118"/>
      <c r="S17" s="34">
        <f>((289+51001240+3+4016)/1000)</f>
        <v>51005.548000000003</v>
      </c>
      <c r="U17" s="37"/>
      <c r="Z17" s="30">
        <v>382530</v>
      </c>
      <c r="AA17" s="31" t="s">
        <v>24</v>
      </c>
    </row>
    <row r="18" spans="1:27" ht="12.75" customHeight="1">
      <c r="A18" s="109">
        <v>26210000</v>
      </c>
      <c r="B18" s="110" t="s">
        <v>25</v>
      </c>
      <c r="C18" s="26"/>
      <c r="D18" s="26"/>
      <c r="E18" s="26"/>
      <c r="F18" s="26"/>
      <c r="H18" s="12"/>
      <c r="I18" s="12"/>
      <c r="J18" s="12"/>
      <c r="K18" s="12"/>
      <c r="L18" s="32"/>
      <c r="M18" s="33"/>
      <c r="N18" s="111" t="s">
        <v>9</v>
      </c>
      <c r="O18" s="105">
        <f>1094/1000</f>
        <v>1.0940000000000001</v>
      </c>
      <c r="P18" s="105">
        <f>3700/1000</f>
        <v>3.7</v>
      </c>
      <c r="Q18" s="116">
        <f>15422/1000</f>
        <v>15.422000000000001</v>
      </c>
      <c r="R18" s="113">
        <f>303013/1000</f>
        <v>303.01299999999998</v>
      </c>
      <c r="S18" s="34"/>
      <c r="U18" s="37"/>
      <c r="Z18" s="30">
        <v>382541</v>
      </c>
      <c r="AA18" s="31" t="s">
        <v>26</v>
      </c>
    </row>
    <row r="19" spans="1:27" ht="12.75" customHeight="1">
      <c r="A19" s="109"/>
      <c r="B19" s="110"/>
      <c r="C19" s="26"/>
      <c r="D19" s="26"/>
      <c r="E19" s="26"/>
      <c r="F19" s="26"/>
      <c r="G19" s="22"/>
      <c r="H19" s="22"/>
      <c r="I19" s="22"/>
      <c r="J19" s="22"/>
      <c r="K19" s="25"/>
      <c r="L19" s="32"/>
      <c r="M19" s="33"/>
      <c r="N19" s="111"/>
      <c r="O19" s="105"/>
      <c r="P19" s="105"/>
      <c r="Q19" s="116"/>
      <c r="R19" s="113"/>
      <c r="S19" s="34"/>
      <c r="U19" s="37"/>
      <c r="Z19" s="30">
        <v>382549</v>
      </c>
      <c r="AA19" s="31" t="s">
        <v>27</v>
      </c>
    </row>
    <row r="20" spans="1:27" ht="12.75" customHeight="1">
      <c r="A20" s="109"/>
      <c r="B20" s="110"/>
      <c r="C20" s="26"/>
      <c r="D20" s="26"/>
      <c r="E20" s="26"/>
      <c r="F20" s="26"/>
      <c r="G20" s="22"/>
      <c r="H20" s="22"/>
      <c r="I20" s="22"/>
      <c r="J20" s="22"/>
      <c r="K20" s="22"/>
      <c r="L20" s="32"/>
      <c r="M20" s="33"/>
      <c r="N20" s="111"/>
      <c r="O20" s="105"/>
      <c r="P20" s="105"/>
      <c r="Q20" s="116"/>
      <c r="R20" s="113"/>
      <c r="S20" s="34"/>
      <c r="U20" s="37"/>
      <c r="Z20" s="30">
        <v>382561</v>
      </c>
      <c r="AA20" s="31" t="s">
        <v>28</v>
      </c>
    </row>
    <row r="21" spans="1:27" ht="12.75" customHeight="1">
      <c r="A21" s="109"/>
      <c r="B21" s="24" t="s">
        <v>29</v>
      </c>
      <c r="C21" s="26">
        <v>330.50799999999998</v>
      </c>
      <c r="D21" s="25" t="s">
        <v>9</v>
      </c>
      <c r="E21" s="25" t="s">
        <v>9</v>
      </c>
      <c r="F21" s="26">
        <v>10.118</v>
      </c>
      <c r="G21" s="22" t="s">
        <v>9</v>
      </c>
      <c r="H21" s="22" t="s">
        <v>9</v>
      </c>
      <c r="I21" s="22" t="s">
        <v>9</v>
      </c>
      <c r="J21" s="22">
        <v>0.09</v>
      </c>
      <c r="K21" s="22">
        <v>7.5999999999999998E-2</v>
      </c>
      <c r="L21" s="32">
        <v>3.1520000000000001</v>
      </c>
      <c r="M21" s="33">
        <v>3.7410000000000001</v>
      </c>
      <c r="N21" s="111"/>
      <c r="O21" s="105"/>
      <c r="P21" s="105"/>
      <c r="Q21" s="116"/>
      <c r="R21" s="113"/>
      <c r="S21" s="34">
        <f>675884/1000</f>
        <v>675.88400000000001</v>
      </c>
      <c r="U21" s="37"/>
      <c r="Z21" s="30"/>
      <c r="AA21" s="31" t="s">
        <v>30</v>
      </c>
    </row>
    <row r="22" spans="1:27" ht="12.75" customHeight="1">
      <c r="A22" s="30">
        <v>27109100</v>
      </c>
      <c r="B22" s="46" t="s">
        <v>10</v>
      </c>
      <c r="F22" s="26"/>
      <c r="G22" s="22"/>
      <c r="H22" s="22"/>
      <c r="I22" s="22"/>
      <c r="J22" s="22"/>
      <c r="K22" s="22"/>
      <c r="L22" s="32"/>
      <c r="M22" s="33"/>
      <c r="N22" s="33"/>
      <c r="O22" s="45"/>
      <c r="P22" s="45"/>
      <c r="Q22" s="23"/>
      <c r="R22" s="23"/>
      <c r="S22" s="34"/>
      <c r="U22" s="37"/>
      <c r="Z22" s="30"/>
      <c r="AA22" s="31"/>
    </row>
    <row r="23" spans="1:27" ht="12.75" customHeight="1">
      <c r="A23" s="30"/>
      <c r="B23" s="31" t="s">
        <v>31</v>
      </c>
      <c r="F23" s="26"/>
      <c r="G23" s="22"/>
      <c r="H23" s="22"/>
      <c r="I23" s="22"/>
      <c r="J23" s="22"/>
      <c r="K23" s="22"/>
      <c r="L23" s="32"/>
      <c r="M23" s="33"/>
      <c r="N23" s="33"/>
      <c r="O23" s="45"/>
      <c r="P23" s="45"/>
      <c r="Q23" s="23"/>
      <c r="R23" s="23"/>
      <c r="S23" s="34"/>
      <c r="U23" s="37"/>
      <c r="Z23" s="30"/>
      <c r="AA23" s="31"/>
    </row>
    <row r="24" spans="1:27" ht="12.75" customHeight="1">
      <c r="A24" s="30"/>
      <c r="B24" s="31" t="s">
        <v>32</v>
      </c>
      <c r="F24" s="26"/>
      <c r="G24" s="22"/>
      <c r="H24" s="22"/>
      <c r="I24" s="22"/>
      <c r="J24" s="22"/>
      <c r="K24" s="22"/>
      <c r="L24" s="32"/>
      <c r="M24" s="33"/>
      <c r="N24" s="33"/>
      <c r="O24" s="47" t="s">
        <v>9</v>
      </c>
      <c r="P24" s="47" t="s">
        <v>9</v>
      </c>
      <c r="Q24" s="47" t="s">
        <v>9</v>
      </c>
      <c r="R24" s="47" t="s">
        <v>9</v>
      </c>
      <c r="S24" s="34">
        <f>482/1000</f>
        <v>0.48199999999999998</v>
      </c>
      <c r="U24" s="37"/>
      <c r="Z24" s="30"/>
      <c r="AA24" s="31"/>
    </row>
    <row r="25" spans="1:27" ht="12.75" customHeight="1">
      <c r="A25" s="13">
        <v>27109990</v>
      </c>
      <c r="B25" s="46" t="s">
        <v>33</v>
      </c>
      <c r="C25" s="25" t="s">
        <v>9</v>
      </c>
      <c r="D25" s="25" t="s">
        <v>9</v>
      </c>
      <c r="E25" s="25" t="s">
        <v>9</v>
      </c>
      <c r="F25" s="26">
        <v>32.514000000000003</v>
      </c>
      <c r="G25" s="22">
        <v>32.731000000000002</v>
      </c>
      <c r="H25" s="22">
        <v>27.37</v>
      </c>
      <c r="I25" s="22">
        <v>14.154999999999999</v>
      </c>
      <c r="J25" s="22">
        <v>49.872</v>
      </c>
      <c r="K25" s="22">
        <v>7.6070000000000002</v>
      </c>
      <c r="L25" s="32">
        <v>2.5019999999999998</v>
      </c>
      <c r="M25" s="33">
        <v>0.86499999999999999</v>
      </c>
      <c r="N25" s="45">
        <f>20603/1000</f>
        <v>20.603000000000002</v>
      </c>
      <c r="O25" s="45">
        <f>9967/1000</f>
        <v>9.9670000000000005</v>
      </c>
      <c r="P25" s="45">
        <f>54001/1000</f>
        <v>54.000999999999998</v>
      </c>
      <c r="Q25" s="23">
        <f>29889/1000</f>
        <v>29.888999999999999</v>
      </c>
      <c r="R25" s="23">
        <f>144580/1000</f>
        <v>144.58000000000001</v>
      </c>
      <c r="S25" s="34">
        <f>3369/1000</f>
        <v>3.3690000000000002</v>
      </c>
      <c r="U25" s="37"/>
      <c r="Z25" s="30"/>
      <c r="AA25" s="31" t="s">
        <v>34</v>
      </c>
    </row>
    <row r="26" spans="1:27" ht="12.75" customHeight="1">
      <c r="A26" s="109">
        <v>27130000</v>
      </c>
      <c r="B26" s="110" t="s">
        <v>35</v>
      </c>
      <c r="C26" s="26"/>
      <c r="D26" s="26"/>
      <c r="E26" s="26"/>
      <c r="F26" s="26"/>
      <c r="H26" s="12"/>
      <c r="I26" s="12"/>
      <c r="J26" s="12"/>
      <c r="K26" s="12"/>
      <c r="L26" s="32"/>
      <c r="M26" s="33"/>
      <c r="N26" s="114">
        <f>166040169/1000</f>
        <v>166040.16899999999</v>
      </c>
      <c r="O26" s="114">
        <f>162989171/1000</f>
        <v>162989.171</v>
      </c>
      <c r="P26" s="114">
        <f>153033189/1000</f>
        <v>153033.18900000001</v>
      </c>
      <c r="Q26" s="116">
        <f>162037635/1000</f>
        <v>162037.63500000001</v>
      </c>
      <c r="R26" s="113">
        <f>117066820/1000</f>
        <v>117066.82</v>
      </c>
      <c r="S26" s="119">
        <f>(754487+2546)/1000</f>
        <v>757.03300000000002</v>
      </c>
      <c r="V26" s="37"/>
      <c r="Z26" s="30">
        <v>382569</v>
      </c>
      <c r="AA26" s="31" t="s">
        <v>28</v>
      </c>
    </row>
    <row r="27" spans="1:27" ht="12.75" customHeight="1">
      <c r="A27" s="109"/>
      <c r="B27" s="110"/>
      <c r="C27" s="26"/>
      <c r="D27" s="26"/>
      <c r="E27" s="26"/>
      <c r="F27" s="26"/>
      <c r="H27" s="12"/>
      <c r="I27" s="12"/>
      <c r="J27" s="12"/>
      <c r="K27" s="12"/>
      <c r="L27" s="32"/>
      <c r="M27" s="33"/>
      <c r="N27" s="114"/>
      <c r="O27" s="114"/>
      <c r="P27" s="114"/>
      <c r="Q27" s="116"/>
      <c r="R27" s="113"/>
      <c r="S27" s="119"/>
      <c r="Z27" s="30"/>
      <c r="AA27" s="31" t="s">
        <v>36</v>
      </c>
    </row>
    <row r="28" spans="1:27" ht="12.75" customHeight="1">
      <c r="A28" s="109"/>
      <c r="B28" s="24" t="s">
        <v>37</v>
      </c>
      <c r="C28" s="26">
        <v>24.745999999999999</v>
      </c>
      <c r="D28" s="26">
        <v>34.484999999999999</v>
      </c>
      <c r="E28" s="26">
        <v>0.88</v>
      </c>
      <c r="F28" s="26">
        <v>18.766999999999999</v>
      </c>
      <c r="G28" s="22">
        <v>43.814999999999998</v>
      </c>
      <c r="H28" s="22">
        <v>43.601999999999997</v>
      </c>
      <c r="I28" s="22">
        <v>72.753</v>
      </c>
      <c r="J28" s="22">
        <v>43.011000000000003</v>
      </c>
      <c r="K28" s="22">
        <v>21.591000000000001</v>
      </c>
      <c r="L28" s="32">
        <v>0.88500000000000001</v>
      </c>
      <c r="M28" s="33">
        <f>80906853/1000</f>
        <v>80906.853000000003</v>
      </c>
      <c r="N28" s="114"/>
      <c r="O28" s="114"/>
      <c r="P28" s="114"/>
      <c r="Q28" s="116"/>
      <c r="R28" s="113"/>
      <c r="S28" s="119"/>
      <c r="V28" s="48"/>
      <c r="Z28" s="30">
        <v>740400</v>
      </c>
      <c r="AA28" s="31" t="s">
        <v>38</v>
      </c>
    </row>
    <row r="29" spans="1:27" ht="12.75" customHeight="1">
      <c r="A29" s="109">
        <v>38040000</v>
      </c>
      <c r="B29" s="110" t="s">
        <v>39</v>
      </c>
      <c r="C29" s="26"/>
      <c r="D29" s="26"/>
      <c r="E29" s="26"/>
      <c r="F29" s="26"/>
      <c r="G29" s="22"/>
      <c r="H29" s="22"/>
      <c r="I29" s="22"/>
      <c r="J29" s="22"/>
      <c r="K29" s="22"/>
      <c r="L29" s="32"/>
      <c r="M29" s="33"/>
      <c r="N29" s="49"/>
      <c r="O29" s="114">
        <f>387262/1000</f>
        <v>387.262</v>
      </c>
      <c r="P29" s="114">
        <f>163040/1000</f>
        <v>163.04</v>
      </c>
      <c r="Q29" s="116">
        <f>97000/1000</f>
        <v>97</v>
      </c>
      <c r="R29" s="116">
        <f>76119/1000</f>
        <v>76.119</v>
      </c>
      <c r="S29" s="119">
        <f>8398/1000</f>
        <v>8.3979999999999997</v>
      </c>
      <c r="V29" s="48"/>
      <c r="Z29" s="30"/>
      <c r="AA29" s="31"/>
    </row>
    <row r="30" spans="1:27" ht="12.75" customHeight="1">
      <c r="A30" s="109"/>
      <c r="B30" s="110"/>
      <c r="C30" s="26"/>
      <c r="D30" s="26"/>
      <c r="E30" s="26"/>
      <c r="F30" s="26"/>
      <c r="G30" s="22"/>
      <c r="H30" s="22"/>
      <c r="I30" s="22"/>
      <c r="J30" s="22"/>
      <c r="K30" s="22"/>
      <c r="L30" s="32"/>
      <c r="M30" s="33"/>
      <c r="N30" s="49"/>
      <c r="O30" s="114"/>
      <c r="P30" s="114"/>
      <c r="Q30" s="116"/>
      <c r="R30" s="116"/>
      <c r="S30" s="119"/>
      <c r="V30" s="48"/>
      <c r="Z30" s="30"/>
      <c r="AA30" s="31"/>
    </row>
    <row r="31" spans="1:27" ht="12.75" customHeight="1">
      <c r="A31" s="109"/>
      <c r="B31" s="110"/>
      <c r="C31" s="26"/>
      <c r="D31" s="26"/>
      <c r="E31" s="26"/>
      <c r="F31" s="26"/>
      <c r="G31" s="22"/>
      <c r="H31" s="22"/>
      <c r="I31" s="22"/>
      <c r="J31" s="22"/>
      <c r="K31" s="22"/>
      <c r="L31" s="32"/>
      <c r="M31" s="33"/>
      <c r="N31" s="49"/>
      <c r="O31" s="114"/>
      <c r="P31" s="114"/>
      <c r="Q31" s="116"/>
      <c r="R31" s="116"/>
      <c r="S31" s="119"/>
      <c r="V31" s="48"/>
      <c r="Z31" s="30"/>
      <c r="AA31" s="31"/>
    </row>
    <row r="32" spans="1:27" ht="12.75" customHeight="1">
      <c r="A32" s="109"/>
      <c r="B32" s="24" t="s">
        <v>40</v>
      </c>
      <c r="C32" s="26"/>
      <c r="D32" s="26"/>
      <c r="E32" s="26"/>
      <c r="F32" s="26"/>
      <c r="G32" s="22"/>
      <c r="H32" s="22"/>
      <c r="I32" s="22"/>
      <c r="J32" s="22"/>
      <c r="K32" s="22"/>
      <c r="L32" s="32"/>
      <c r="M32" s="33"/>
      <c r="N32" s="49">
        <f>45155/1000</f>
        <v>45.155000000000001</v>
      </c>
      <c r="O32" s="114"/>
      <c r="P32" s="114"/>
      <c r="Q32" s="116"/>
      <c r="R32" s="116"/>
      <c r="S32" s="119"/>
      <c r="V32" s="48"/>
      <c r="Z32" s="30"/>
      <c r="AA32" s="31"/>
    </row>
    <row r="33" spans="1:27" ht="12.75" customHeight="1">
      <c r="A33" s="109">
        <v>38250000</v>
      </c>
      <c r="B33" s="110" t="s">
        <v>41</v>
      </c>
      <c r="C33" s="21"/>
      <c r="D33" s="21"/>
      <c r="E33" s="21"/>
      <c r="F33" s="21"/>
      <c r="G33" s="12"/>
      <c r="H33" s="12"/>
      <c r="I33" s="12"/>
      <c r="J33" s="12"/>
      <c r="K33" s="12"/>
      <c r="L33" s="32"/>
      <c r="M33" s="33"/>
      <c r="N33" s="105">
        <f>51257/1000</f>
        <v>51.256999999999998</v>
      </c>
      <c r="O33" s="105">
        <f>52622/1000</f>
        <v>52.622</v>
      </c>
      <c r="P33" s="105">
        <f>42034/1000</f>
        <v>42.033999999999999</v>
      </c>
      <c r="Q33" s="116">
        <f>66440/1000</f>
        <v>66.44</v>
      </c>
      <c r="R33" s="113">
        <f>125776/1000</f>
        <v>125.776</v>
      </c>
      <c r="S33" s="120">
        <f>(1815+1240+1768+56058+1359)/1000</f>
        <v>62.24</v>
      </c>
      <c r="Z33" s="30">
        <v>750300</v>
      </c>
      <c r="AA33" s="31" t="s">
        <v>42</v>
      </c>
    </row>
    <row r="34" spans="1:27" ht="12.75" customHeight="1">
      <c r="A34" s="109"/>
      <c r="B34" s="110"/>
      <c r="C34" s="26"/>
      <c r="D34" s="26"/>
      <c r="E34" s="26"/>
      <c r="F34" s="26"/>
      <c r="G34" s="22"/>
      <c r="H34" s="22"/>
      <c r="I34" s="22"/>
      <c r="J34" s="22"/>
      <c r="K34" s="22"/>
      <c r="L34" s="32"/>
      <c r="M34" s="33"/>
      <c r="N34" s="105"/>
      <c r="O34" s="105"/>
      <c r="P34" s="105"/>
      <c r="Q34" s="116"/>
      <c r="R34" s="113"/>
      <c r="S34" s="120"/>
      <c r="Z34" s="40">
        <v>760200</v>
      </c>
      <c r="AA34" s="13" t="s">
        <v>43</v>
      </c>
    </row>
    <row r="35" spans="1:27" ht="12.75" customHeight="1">
      <c r="A35" s="109"/>
      <c r="B35" s="110"/>
      <c r="C35" s="26"/>
      <c r="D35" s="26"/>
      <c r="E35" s="26"/>
      <c r="F35" s="26"/>
      <c r="G35" s="22"/>
      <c r="H35" s="22"/>
      <c r="I35" s="22"/>
      <c r="J35" s="22"/>
      <c r="K35" s="22"/>
      <c r="L35" s="32"/>
      <c r="M35" s="33"/>
      <c r="N35" s="105"/>
      <c r="O35" s="105"/>
      <c r="P35" s="105"/>
      <c r="Q35" s="116"/>
      <c r="R35" s="113"/>
      <c r="S35" s="120"/>
      <c r="U35" s="36"/>
      <c r="Z35" s="40">
        <v>780200</v>
      </c>
      <c r="AA35" s="31" t="s">
        <v>44</v>
      </c>
    </row>
    <row r="36" spans="1:27" ht="12.75" customHeight="1">
      <c r="A36" s="13"/>
      <c r="B36" s="46" t="s">
        <v>45</v>
      </c>
      <c r="C36" s="25" t="s">
        <v>9</v>
      </c>
      <c r="D36" s="25" t="s">
        <v>9</v>
      </c>
      <c r="E36" s="25" t="s">
        <v>9</v>
      </c>
      <c r="F36" s="26">
        <v>18.09</v>
      </c>
      <c r="G36" s="22">
        <v>17.526</v>
      </c>
      <c r="H36" s="22">
        <v>28.956</v>
      </c>
      <c r="I36" s="22">
        <v>24.341999999999999</v>
      </c>
      <c r="J36" s="22">
        <v>25.696999999999999</v>
      </c>
      <c r="K36" s="22">
        <v>20.347000000000001</v>
      </c>
      <c r="L36" s="32">
        <v>26.681999999999999</v>
      </c>
      <c r="M36" s="33">
        <v>62.665999999999997</v>
      </c>
      <c r="N36" s="105"/>
      <c r="O36" s="105"/>
      <c r="P36" s="105"/>
      <c r="Q36" s="116"/>
      <c r="R36" s="113"/>
      <c r="S36" s="120"/>
      <c r="Z36" s="50">
        <v>800200</v>
      </c>
      <c r="AA36" s="31" t="s">
        <v>46</v>
      </c>
    </row>
    <row r="37" spans="1:27" ht="12.75" customHeight="1">
      <c r="A37" s="13">
        <v>39150000</v>
      </c>
      <c r="B37" s="46" t="s">
        <v>47</v>
      </c>
      <c r="C37" s="26">
        <v>494.89100000000002</v>
      </c>
      <c r="D37" s="26">
        <v>530.44500000000005</v>
      </c>
      <c r="E37" s="26">
        <v>369.95699999999999</v>
      </c>
      <c r="F37" s="26">
        <v>187.35499999999999</v>
      </c>
      <c r="G37" s="22">
        <v>442.25900000000001</v>
      </c>
      <c r="H37" s="22">
        <v>2211.8629999999998</v>
      </c>
      <c r="I37" s="22">
        <v>579.95699999999999</v>
      </c>
      <c r="J37" s="22">
        <v>460.42599999999999</v>
      </c>
      <c r="K37" s="22">
        <v>541.69200000000001</v>
      </c>
      <c r="L37" s="32">
        <v>81.728999999999999</v>
      </c>
      <c r="M37" s="33">
        <v>149.524</v>
      </c>
      <c r="N37" s="45">
        <f>54884/1000</f>
        <v>54.884</v>
      </c>
      <c r="O37" s="45">
        <f>85117/1000</f>
        <v>85.117000000000004</v>
      </c>
      <c r="P37" s="45">
        <f>2991/1000</f>
        <v>2.9910000000000001</v>
      </c>
      <c r="Q37" s="23">
        <f>108892/1000</f>
        <v>108.892</v>
      </c>
      <c r="R37" s="23">
        <f>20713/1000</f>
        <v>20.713000000000001</v>
      </c>
      <c r="S37" s="34">
        <f>(77349+145367)/1000</f>
        <v>222.71600000000001</v>
      </c>
      <c r="Z37" s="50">
        <v>810297</v>
      </c>
      <c r="AA37" s="31" t="s">
        <v>48</v>
      </c>
    </row>
    <row r="38" spans="1:27" ht="12.75" customHeight="1">
      <c r="A38" s="109">
        <v>40040000</v>
      </c>
      <c r="B38" s="19" t="s">
        <v>49</v>
      </c>
      <c r="C38" s="26"/>
      <c r="D38" s="26"/>
      <c r="E38" s="26"/>
      <c r="F38" s="26"/>
      <c r="H38" s="12"/>
      <c r="I38" s="12"/>
      <c r="J38" s="12"/>
      <c r="K38" s="12"/>
      <c r="L38" s="32"/>
      <c r="M38" s="33"/>
      <c r="N38" s="105">
        <f>108686/1000</f>
        <v>108.68600000000001</v>
      </c>
      <c r="O38" s="105">
        <f>239876/1000</f>
        <v>239.876</v>
      </c>
      <c r="P38" s="105">
        <f>61582/1000</f>
        <v>61.582000000000001</v>
      </c>
      <c r="Q38" s="116">
        <f>67628/1000</f>
        <v>67.628</v>
      </c>
      <c r="R38" s="113">
        <f>151078/1000</f>
        <v>151.078</v>
      </c>
      <c r="S38" s="120">
        <f>114866/1000</f>
        <v>114.866</v>
      </c>
      <c r="Z38" s="50">
        <v>810330</v>
      </c>
      <c r="AA38" s="31" t="s">
        <v>50</v>
      </c>
    </row>
    <row r="39" spans="1:27" ht="12.75" customHeight="1">
      <c r="A39" s="109"/>
      <c r="B39" s="46" t="s">
        <v>51</v>
      </c>
      <c r="C39" s="25" t="s">
        <v>9</v>
      </c>
      <c r="D39" s="25" t="s">
        <v>9</v>
      </c>
      <c r="E39" s="25" t="s">
        <v>9</v>
      </c>
      <c r="F39" s="25" t="s">
        <v>9</v>
      </c>
      <c r="G39" s="22">
        <v>29.489000000000001</v>
      </c>
      <c r="H39" s="22">
        <v>3.29</v>
      </c>
      <c r="I39" s="22">
        <v>121.94</v>
      </c>
      <c r="J39" s="22">
        <v>266.50799999999998</v>
      </c>
      <c r="K39" s="22">
        <v>977.39200000000005</v>
      </c>
      <c r="L39" s="32">
        <v>31.192</v>
      </c>
      <c r="M39" s="33">
        <v>396.07100000000003</v>
      </c>
      <c r="N39" s="105"/>
      <c r="O39" s="105"/>
      <c r="P39" s="105"/>
      <c r="Q39" s="116"/>
      <c r="R39" s="113"/>
      <c r="S39" s="120"/>
      <c r="Z39" s="50">
        <v>810420</v>
      </c>
      <c r="AA39" s="31" t="s">
        <v>52</v>
      </c>
    </row>
    <row r="40" spans="1:27" ht="12.75" customHeight="1">
      <c r="A40" s="51">
        <v>41152090</v>
      </c>
      <c r="B40" s="110" t="s">
        <v>53</v>
      </c>
      <c r="C40" s="21"/>
      <c r="D40" s="21"/>
      <c r="E40" s="21"/>
      <c r="F40" s="21"/>
      <c r="H40" s="12"/>
      <c r="I40" s="12"/>
      <c r="J40" s="12"/>
      <c r="K40" s="12"/>
      <c r="L40" s="32"/>
      <c r="M40" s="33"/>
      <c r="N40" s="114">
        <f>5/1000</f>
        <v>5.0000000000000001E-3</v>
      </c>
      <c r="O40" s="105">
        <f>256/1000</f>
        <v>0.25600000000000001</v>
      </c>
      <c r="P40" s="105">
        <f>929/1000</f>
        <v>0.92900000000000005</v>
      </c>
      <c r="Q40" s="116">
        <f>3466/1000</f>
        <v>3.4660000000000002</v>
      </c>
      <c r="R40" s="113">
        <f>100/1000</f>
        <v>0.1</v>
      </c>
      <c r="S40" s="120">
        <f>191/1000</f>
        <v>0.191</v>
      </c>
      <c r="Z40" s="50">
        <v>810530</v>
      </c>
      <c r="AA40" s="31" t="s">
        <v>54</v>
      </c>
    </row>
    <row r="41" spans="1:27" ht="12.75" customHeight="1">
      <c r="A41" s="52"/>
      <c r="B41" s="110"/>
      <c r="C41" s="21"/>
      <c r="D41" s="21"/>
      <c r="E41" s="21"/>
      <c r="F41" s="21"/>
      <c r="G41" s="22"/>
      <c r="H41" s="22"/>
      <c r="I41" s="22"/>
      <c r="J41" s="22"/>
      <c r="K41" s="22"/>
      <c r="L41" s="32"/>
      <c r="M41" s="33"/>
      <c r="N41" s="114"/>
      <c r="O41" s="105"/>
      <c r="P41" s="105"/>
      <c r="Q41" s="116"/>
      <c r="R41" s="113"/>
      <c r="S41" s="120"/>
      <c r="Z41" s="50">
        <v>810600</v>
      </c>
      <c r="AA41" s="31" t="s">
        <v>55</v>
      </c>
    </row>
    <row r="42" spans="1:27" ht="12.75" customHeight="1">
      <c r="A42" s="52"/>
      <c r="B42" s="110"/>
      <c r="C42" s="21"/>
      <c r="D42" s="21"/>
      <c r="E42" s="21"/>
      <c r="F42" s="21"/>
      <c r="G42" s="22"/>
      <c r="H42" s="22"/>
      <c r="I42" s="22"/>
      <c r="J42" s="22"/>
      <c r="K42" s="22"/>
      <c r="L42" s="32"/>
      <c r="M42" s="33"/>
      <c r="N42" s="114"/>
      <c r="O42" s="105"/>
      <c r="P42" s="105"/>
      <c r="Q42" s="116"/>
      <c r="R42" s="113"/>
      <c r="S42" s="120"/>
      <c r="Z42" s="50">
        <v>810730</v>
      </c>
      <c r="AA42" s="31" t="s">
        <v>56</v>
      </c>
    </row>
    <row r="43" spans="1:27" ht="12.75" customHeight="1">
      <c r="A43" s="52"/>
      <c r="B43" s="110"/>
      <c r="C43" s="21"/>
      <c r="D43" s="21"/>
      <c r="E43" s="21"/>
      <c r="F43" s="21"/>
      <c r="G43" s="22"/>
      <c r="H43" s="22"/>
      <c r="I43" s="22"/>
      <c r="J43" s="22"/>
      <c r="K43" s="22"/>
      <c r="L43" s="32"/>
      <c r="M43" s="33"/>
      <c r="N43" s="114"/>
      <c r="O43" s="105"/>
      <c r="P43" s="105"/>
      <c r="Q43" s="116"/>
      <c r="R43" s="113"/>
      <c r="S43" s="120"/>
      <c r="Z43" s="50"/>
      <c r="AA43" s="31"/>
    </row>
    <row r="44" spans="1:27" ht="12.75" customHeight="1">
      <c r="A44" s="52"/>
      <c r="B44" s="24" t="s">
        <v>57</v>
      </c>
      <c r="C44" s="21"/>
      <c r="D44" s="21"/>
      <c r="E44" s="21"/>
      <c r="F44" s="21"/>
      <c r="G44" s="22"/>
      <c r="H44" s="25"/>
      <c r="I44" s="22"/>
      <c r="J44" s="22"/>
      <c r="K44" s="22"/>
      <c r="L44" s="32"/>
      <c r="M44" s="33"/>
      <c r="N44" s="114"/>
      <c r="O44" s="105"/>
      <c r="P44" s="105"/>
      <c r="Q44" s="116"/>
      <c r="R44" s="113"/>
      <c r="S44" s="120"/>
      <c r="T44" s="121"/>
      <c r="U44" s="121"/>
      <c r="V44" s="53"/>
      <c r="W44" s="54"/>
      <c r="Y44" s="54"/>
      <c r="Z44" s="50">
        <v>810830</v>
      </c>
      <c r="AA44" s="31" t="s">
        <v>58</v>
      </c>
    </row>
    <row r="45" spans="1:27" ht="12.75" customHeight="1">
      <c r="A45" s="122" t="s">
        <v>59</v>
      </c>
      <c r="B45" s="123" t="s">
        <v>60</v>
      </c>
      <c r="C45" s="55"/>
      <c r="D45" s="55"/>
      <c r="E45" s="55"/>
      <c r="F45" s="21"/>
      <c r="G45" s="39"/>
      <c r="H45" s="22"/>
      <c r="I45" s="22"/>
      <c r="J45" s="22"/>
      <c r="K45" s="22"/>
      <c r="L45" s="32"/>
      <c r="M45" s="33"/>
      <c r="N45" s="114">
        <f>292950/1000</f>
        <v>292.95</v>
      </c>
      <c r="O45" s="105">
        <f>255482/1000</f>
        <v>255.482</v>
      </c>
      <c r="P45" s="105">
        <f>458574/1000</f>
        <v>458.57400000000001</v>
      </c>
      <c r="Q45" s="116">
        <f>366239/1000</f>
        <v>366.23899999999998</v>
      </c>
      <c r="R45" s="113">
        <f>809081/1000</f>
        <v>809.08100000000002</v>
      </c>
      <c r="S45" s="124">
        <f>486921/10000</f>
        <v>48.692100000000003</v>
      </c>
      <c r="T45" s="56"/>
      <c r="U45" s="57"/>
      <c r="V45" s="52"/>
      <c r="W45" s="54"/>
      <c r="Z45" s="50"/>
      <c r="AA45" s="31"/>
    </row>
    <row r="46" spans="1:27" ht="12.75" customHeight="1">
      <c r="A46" s="122"/>
      <c r="B46" s="123"/>
      <c r="C46" s="55"/>
      <c r="D46" s="55"/>
      <c r="E46" s="55"/>
      <c r="F46" s="21"/>
      <c r="G46" s="39"/>
      <c r="H46" s="22"/>
      <c r="I46" s="22"/>
      <c r="J46" s="22"/>
      <c r="K46" s="22"/>
      <c r="L46" s="32"/>
      <c r="M46" s="33"/>
      <c r="N46" s="114"/>
      <c r="O46" s="105"/>
      <c r="P46" s="105"/>
      <c r="Q46" s="116"/>
      <c r="R46" s="113"/>
      <c r="S46" s="124"/>
      <c r="T46" s="56"/>
      <c r="U46" s="57"/>
      <c r="V46" s="52"/>
      <c r="W46" s="54"/>
      <c r="Z46" s="50"/>
      <c r="AA46" s="31"/>
    </row>
    <row r="47" spans="1:27" ht="12.75" customHeight="1">
      <c r="A47" s="122"/>
      <c r="B47" s="24" t="s">
        <v>61</v>
      </c>
      <c r="C47" s="55"/>
      <c r="D47" s="55"/>
      <c r="E47" s="55"/>
      <c r="F47" s="21"/>
      <c r="G47" s="39"/>
      <c r="H47" s="22"/>
      <c r="I47" s="22"/>
      <c r="J47" s="22"/>
      <c r="K47" s="22"/>
      <c r="L47" s="32"/>
      <c r="M47" s="29" t="s">
        <v>9</v>
      </c>
      <c r="N47" s="114"/>
      <c r="O47" s="105"/>
      <c r="P47" s="105"/>
      <c r="Q47" s="116"/>
      <c r="R47" s="113"/>
      <c r="S47" s="124"/>
      <c r="T47" s="56"/>
      <c r="U47" s="57"/>
      <c r="V47" s="52"/>
      <c r="W47" s="54"/>
      <c r="Z47" s="50"/>
      <c r="AA47" s="31"/>
    </row>
    <row r="48" spans="1:27" ht="12.75" customHeight="1">
      <c r="A48" s="125" t="s">
        <v>62</v>
      </c>
      <c r="B48" s="58" t="s">
        <v>63</v>
      </c>
      <c r="C48" s="55"/>
      <c r="D48" s="55"/>
      <c r="E48" s="55"/>
      <c r="F48" s="21"/>
      <c r="G48" s="39"/>
      <c r="H48" s="22"/>
      <c r="I48" s="22"/>
      <c r="J48" s="22"/>
      <c r="K48" s="22"/>
      <c r="L48" s="32"/>
      <c r="M48" s="33"/>
      <c r="N48" s="114">
        <f>340/1000</f>
        <v>0.34</v>
      </c>
      <c r="O48" s="117" t="s">
        <v>9</v>
      </c>
      <c r="P48" s="105">
        <f>8483/1000</f>
        <v>8.4830000000000005</v>
      </c>
      <c r="Q48" s="117" t="s">
        <v>9</v>
      </c>
      <c r="R48" s="113">
        <f>1357/1000</f>
        <v>1.357</v>
      </c>
      <c r="S48" s="124">
        <f>1/1000</f>
        <v>1E-3</v>
      </c>
      <c r="T48" s="56"/>
      <c r="U48" s="57"/>
      <c r="V48" s="52"/>
      <c r="W48" s="54"/>
      <c r="Z48" s="50"/>
      <c r="AA48" s="31"/>
    </row>
    <row r="49" spans="1:27" ht="12.75" customHeight="1">
      <c r="A49" s="125"/>
      <c r="B49" s="59" t="s">
        <v>64</v>
      </c>
      <c r="C49" s="55"/>
      <c r="D49" s="55"/>
      <c r="E49" s="55"/>
      <c r="F49" s="21"/>
      <c r="G49" s="39"/>
      <c r="H49" s="22"/>
      <c r="I49" s="22"/>
      <c r="J49" s="22"/>
      <c r="K49" s="22"/>
      <c r="L49" s="32"/>
      <c r="M49" s="29" t="s">
        <v>9</v>
      </c>
      <c r="N49" s="114"/>
      <c r="O49" s="117"/>
      <c r="P49" s="105"/>
      <c r="Q49" s="117"/>
      <c r="R49" s="113"/>
      <c r="S49" s="124"/>
      <c r="T49" s="56"/>
      <c r="U49" s="57"/>
      <c r="V49" s="52"/>
      <c r="W49" s="54"/>
      <c r="Z49" s="50"/>
      <c r="AA49" s="31"/>
    </row>
    <row r="50" spans="1:27" ht="12.75" customHeight="1">
      <c r="A50" s="60">
        <v>47062000</v>
      </c>
      <c r="B50" s="19" t="s">
        <v>65</v>
      </c>
      <c r="C50" s="21"/>
      <c r="D50" s="21"/>
      <c r="E50" s="21"/>
      <c r="F50" s="21"/>
      <c r="H50" s="12"/>
      <c r="I50" s="12"/>
      <c r="J50" s="12"/>
      <c r="K50" s="12"/>
      <c r="L50" s="32"/>
      <c r="M50" s="33"/>
      <c r="N50" s="111" t="s">
        <v>9</v>
      </c>
      <c r="O50" s="111" t="s">
        <v>9</v>
      </c>
      <c r="P50" s="114">
        <f>362/1000</f>
        <v>0.36199999999999999</v>
      </c>
      <c r="Q50" s="117" t="s">
        <v>9</v>
      </c>
      <c r="R50" s="113">
        <f>8007/1000</f>
        <v>8.0069999999999997</v>
      </c>
      <c r="S50" s="124">
        <f>5760/1000</f>
        <v>5.76</v>
      </c>
      <c r="T50" s="121"/>
      <c r="U50" s="121"/>
      <c r="V50" s="53"/>
      <c r="W50" s="54"/>
      <c r="Z50" s="50">
        <v>811020</v>
      </c>
      <c r="AA50" s="31" t="s">
        <v>66</v>
      </c>
    </row>
    <row r="51" spans="1:27" ht="12.75" customHeight="1">
      <c r="A51" s="61"/>
      <c r="B51" s="24" t="s">
        <v>67</v>
      </c>
      <c r="C51" s="55" t="s">
        <v>9</v>
      </c>
      <c r="D51" s="21">
        <v>22.335000000000001</v>
      </c>
      <c r="E51" s="55" t="s">
        <v>9</v>
      </c>
      <c r="F51" s="55" t="s">
        <v>9</v>
      </c>
      <c r="G51" s="22" t="s">
        <v>9</v>
      </c>
      <c r="H51" s="22" t="s">
        <v>9</v>
      </c>
      <c r="I51" s="22">
        <v>0.223</v>
      </c>
      <c r="J51" s="22">
        <v>0.248</v>
      </c>
      <c r="K51" s="22" t="s">
        <v>9</v>
      </c>
      <c r="L51" s="32" t="s">
        <v>9</v>
      </c>
      <c r="M51" s="29">
        <v>0</v>
      </c>
      <c r="N51" s="111"/>
      <c r="O51" s="111"/>
      <c r="P51" s="114"/>
      <c r="Q51" s="117"/>
      <c r="R51" s="113"/>
      <c r="S51" s="124"/>
      <c r="T51" s="121"/>
      <c r="U51" s="121"/>
      <c r="V51" s="53"/>
      <c r="W51" s="54"/>
      <c r="Z51" s="50">
        <v>811100</v>
      </c>
      <c r="AA51" s="31" t="s">
        <v>68</v>
      </c>
    </row>
    <row r="52" spans="1:27" ht="12.75" customHeight="1">
      <c r="A52" s="127">
        <v>47070000</v>
      </c>
      <c r="B52" s="19" t="s">
        <v>69</v>
      </c>
      <c r="C52" s="21"/>
      <c r="D52" s="21"/>
      <c r="E52" s="21"/>
      <c r="F52" s="21"/>
      <c r="H52" s="12"/>
      <c r="I52" s="12"/>
      <c r="J52" s="12"/>
      <c r="K52" s="12"/>
      <c r="L52" s="32"/>
      <c r="M52" s="33"/>
      <c r="N52" s="115">
        <f>13282499/1000</f>
        <v>13282.499</v>
      </c>
      <c r="O52" s="105">
        <f>11082482/1000</f>
        <v>11082.482</v>
      </c>
      <c r="P52" s="105">
        <f>13318584/1000</f>
        <v>13318.584000000001</v>
      </c>
      <c r="Q52" s="116">
        <f>12440046/1000</f>
        <v>12440.046</v>
      </c>
      <c r="R52" s="113">
        <f>8971817/1000</f>
        <v>8971.8169999999991</v>
      </c>
      <c r="S52" s="124">
        <f>(9893461+2590267)/1000</f>
        <v>12483.727999999999</v>
      </c>
      <c r="T52" s="121"/>
      <c r="U52" s="121"/>
      <c r="V52" s="53"/>
      <c r="W52" s="54"/>
      <c r="Z52" s="50">
        <v>811252</v>
      </c>
      <c r="AA52" s="31" t="s">
        <v>70</v>
      </c>
    </row>
    <row r="53" spans="1:27" ht="12.75" customHeight="1">
      <c r="A53" s="127"/>
      <c r="B53" s="24" t="s">
        <v>71</v>
      </c>
      <c r="C53" s="21">
        <v>13982.111999999999</v>
      </c>
      <c r="D53" s="21">
        <v>8927.5480000000007</v>
      </c>
      <c r="E53" s="21">
        <v>17770.809000000001</v>
      </c>
      <c r="F53" s="21">
        <v>15393.244000000001</v>
      </c>
      <c r="G53" s="22">
        <v>14914.137000000001</v>
      </c>
      <c r="H53" s="22">
        <v>14286.833000000001</v>
      </c>
      <c r="I53" s="22">
        <v>12441.8</v>
      </c>
      <c r="J53" s="22">
        <v>14824.088</v>
      </c>
      <c r="K53" s="22">
        <v>17547.2</v>
      </c>
      <c r="L53" s="32">
        <v>14543.638999999999</v>
      </c>
      <c r="M53" s="33">
        <v>14122.833000000001</v>
      </c>
      <c r="N53" s="115"/>
      <c r="O53" s="105"/>
      <c r="P53" s="105"/>
      <c r="Q53" s="116"/>
      <c r="R53" s="113"/>
      <c r="S53" s="124"/>
    </row>
    <row r="54" spans="1:27" ht="12.75" customHeight="1">
      <c r="A54" s="62" t="s">
        <v>72</v>
      </c>
      <c r="B54" s="58" t="s">
        <v>73</v>
      </c>
      <c r="C54" s="21"/>
      <c r="D54" s="21"/>
      <c r="E54" s="21"/>
      <c r="F54" s="21"/>
      <c r="G54" s="39"/>
      <c r="H54" s="22"/>
      <c r="I54" s="22"/>
      <c r="J54" s="22"/>
      <c r="K54" s="22"/>
      <c r="L54" s="32"/>
      <c r="M54" s="49"/>
      <c r="N54" s="115">
        <f>425/1000</f>
        <v>0.42499999999999999</v>
      </c>
      <c r="O54" s="105">
        <f>847/1000</f>
        <v>0.84699999999999998</v>
      </c>
      <c r="P54" s="105">
        <f>494/1000</f>
        <v>0.49399999999999999</v>
      </c>
      <c r="Q54" s="116">
        <f>34/1000</f>
        <v>3.4000000000000002E-2</v>
      </c>
      <c r="R54" s="126" t="s">
        <v>9</v>
      </c>
      <c r="S54" s="126" t="s">
        <v>9</v>
      </c>
    </row>
    <row r="55" spans="1:27" ht="12.75" customHeight="1">
      <c r="A55" s="63"/>
      <c r="B55" s="24" t="s">
        <v>74</v>
      </c>
      <c r="C55" s="21"/>
      <c r="D55" s="21"/>
      <c r="E55" s="21"/>
      <c r="F55" s="21"/>
      <c r="G55" s="39"/>
      <c r="H55" s="22"/>
      <c r="I55" s="22"/>
      <c r="J55" s="22"/>
      <c r="K55" s="22"/>
      <c r="L55" s="32"/>
      <c r="M55" s="33">
        <f>449/1000</f>
        <v>0.44900000000000001</v>
      </c>
      <c r="N55" s="115"/>
      <c r="O55" s="105"/>
      <c r="P55" s="105"/>
      <c r="Q55" s="116"/>
      <c r="R55" s="118"/>
      <c r="S55" s="118"/>
    </row>
    <row r="56" spans="1:27" ht="12.75" customHeight="1">
      <c r="A56" s="122" t="s">
        <v>75</v>
      </c>
      <c r="B56" s="123" t="s">
        <v>76</v>
      </c>
      <c r="C56" s="21"/>
      <c r="D56" s="21"/>
      <c r="E56" s="21"/>
      <c r="F56" s="21"/>
      <c r="G56" s="39"/>
      <c r="H56" s="22"/>
      <c r="I56" s="22"/>
      <c r="J56" s="22"/>
      <c r="K56" s="22"/>
      <c r="L56" s="32"/>
      <c r="M56" s="33"/>
      <c r="N56" s="128" t="s">
        <v>9</v>
      </c>
      <c r="O56" s="128" t="s">
        <v>9</v>
      </c>
      <c r="P56" s="105">
        <f>85/1000</f>
        <v>8.5000000000000006E-2</v>
      </c>
      <c r="Q56" s="128" t="s">
        <v>9</v>
      </c>
      <c r="R56" s="126" t="s">
        <v>9</v>
      </c>
      <c r="S56" s="126" t="s">
        <v>9</v>
      </c>
    </row>
    <row r="57" spans="1:27" ht="12.75" customHeight="1">
      <c r="A57" s="122"/>
      <c r="B57" s="123"/>
      <c r="C57" s="21"/>
      <c r="D57" s="21"/>
      <c r="E57" s="21"/>
      <c r="F57" s="21"/>
      <c r="G57" s="39"/>
      <c r="H57" s="22"/>
      <c r="I57" s="22"/>
      <c r="J57" s="22"/>
      <c r="K57" s="22"/>
      <c r="L57" s="32"/>
      <c r="M57" s="33"/>
      <c r="N57" s="128"/>
      <c r="O57" s="128"/>
      <c r="P57" s="105"/>
      <c r="Q57" s="128"/>
      <c r="R57" s="118"/>
      <c r="S57" s="118"/>
    </row>
    <row r="58" spans="1:27" ht="12.75" customHeight="1">
      <c r="A58" s="122"/>
      <c r="B58" s="24" t="s">
        <v>77</v>
      </c>
      <c r="C58" s="21"/>
      <c r="D58" s="21"/>
      <c r="E58" s="21"/>
      <c r="F58" s="21"/>
      <c r="G58" s="39"/>
      <c r="H58" s="22"/>
      <c r="I58" s="22"/>
      <c r="J58" s="22"/>
      <c r="K58" s="22"/>
      <c r="L58" s="32"/>
      <c r="M58" s="33"/>
      <c r="N58" s="128"/>
      <c r="O58" s="128"/>
      <c r="P58" s="105"/>
      <c r="Q58" s="128"/>
      <c r="R58" s="118"/>
      <c r="S58" s="118"/>
    </row>
    <row r="59" spans="1:27" ht="12.75" customHeight="1">
      <c r="A59" s="125" t="s">
        <v>78</v>
      </c>
      <c r="B59" s="123" t="s">
        <v>79</v>
      </c>
      <c r="C59" s="21"/>
      <c r="D59" s="21"/>
      <c r="E59" s="21"/>
      <c r="F59" s="21"/>
      <c r="G59" s="39"/>
      <c r="H59" s="22"/>
      <c r="I59" s="22"/>
      <c r="J59" s="22"/>
      <c r="K59" s="22"/>
      <c r="L59" s="32"/>
      <c r="M59" s="33"/>
      <c r="N59" s="115">
        <f>167/1000</f>
        <v>0.16700000000000001</v>
      </c>
      <c r="O59" s="105">
        <f>8/1000</f>
        <v>8.0000000000000002E-3</v>
      </c>
      <c r="P59" s="105">
        <f>39/1000</f>
        <v>3.9E-2</v>
      </c>
      <c r="Q59" s="116">
        <f>66/1000</f>
        <v>6.6000000000000003E-2</v>
      </c>
      <c r="R59" s="113">
        <f>28/1000</f>
        <v>2.8000000000000001E-2</v>
      </c>
      <c r="S59" s="126">
        <f>28/1000</f>
        <v>2.8000000000000001E-2</v>
      </c>
    </row>
    <row r="60" spans="1:27" ht="12.75" customHeight="1">
      <c r="A60" s="125"/>
      <c r="B60" s="123"/>
      <c r="C60" s="21"/>
      <c r="D60" s="21"/>
      <c r="E60" s="21"/>
      <c r="F60" s="21"/>
      <c r="G60" s="39"/>
      <c r="H60" s="22"/>
      <c r="I60" s="22"/>
      <c r="J60" s="22"/>
      <c r="K60" s="22"/>
      <c r="L60" s="32"/>
      <c r="M60" s="33"/>
      <c r="N60" s="115"/>
      <c r="O60" s="105"/>
      <c r="P60" s="105"/>
      <c r="Q60" s="116"/>
      <c r="R60" s="113"/>
      <c r="S60" s="126"/>
    </row>
    <row r="61" spans="1:27" ht="12.75" customHeight="1">
      <c r="A61" s="125"/>
      <c r="B61" s="24" t="s">
        <v>80</v>
      </c>
      <c r="C61" s="21"/>
      <c r="D61" s="21"/>
      <c r="E61" s="21"/>
      <c r="F61" s="21"/>
      <c r="G61" s="39"/>
      <c r="H61" s="22"/>
      <c r="I61" s="22"/>
      <c r="J61" s="22"/>
      <c r="K61" s="22"/>
      <c r="L61" s="32"/>
      <c r="M61" s="33">
        <f>89/1000</f>
        <v>8.8999999999999996E-2</v>
      </c>
      <c r="N61" s="115"/>
      <c r="O61" s="105"/>
      <c r="P61" s="105"/>
      <c r="Q61" s="116"/>
      <c r="R61" s="113"/>
      <c r="S61" s="126"/>
    </row>
    <row r="62" spans="1:27" ht="12.75" customHeight="1">
      <c r="A62" s="104">
        <v>52020000</v>
      </c>
      <c r="B62" s="64" t="s">
        <v>81</v>
      </c>
      <c r="C62" s="21"/>
      <c r="D62" s="21"/>
      <c r="E62" s="21"/>
      <c r="F62" s="21"/>
      <c r="G62" s="39"/>
      <c r="H62" s="22"/>
      <c r="I62" s="22"/>
      <c r="J62" s="22"/>
      <c r="K62" s="22"/>
      <c r="L62" s="32"/>
      <c r="M62" s="33"/>
      <c r="N62" s="115">
        <f>54042/1000</f>
        <v>54.042000000000002</v>
      </c>
      <c r="O62" s="105">
        <f>44576/1000</f>
        <v>44.576000000000001</v>
      </c>
      <c r="P62" s="105">
        <f>44564/1000</f>
        <v>44.564</v>
      </c>
      <c r="Q62" s="116">
        <f>21329/1000</f>
        <v>21.329000000000001</v>
      </c>
      <c r="R62" s="113">
        <f>33379/1000</f>
        <v>33.378999999999998</v>
      </c>
      <c r="S62" s="126">
        <f>(16820+582)/1000</f>
        <v>17.402000000000001</v>
      </c>
    </row>
    <row r="63" spans="1:27" ht="12.75" customHeight="1">
      <c r="A63" s="104"/>
      <c r="B63" s="24" t="s">
        <v>82</v>
      </c>
      <c r="C63" s="21"/>
      <c r="D63" s="21"/>
      <c r="E63" s="21"/>
      <c r="F63" s="21"/>
      <c r="G63" s="39"/>
      <c r="H63" s="22"/>
      <c r="I63" s="22"/>
      <c r="J63" s="22"/>
      <c r="K63" s="22"/>
      <c r="L63" s="32"/>
      <c r="M63" s="33">
        <f>49390/1000</f>
        <v>49.39</v>
      </c>
      <c r="N63" s="115"/>
      <c r="O63" s="105"/>
      <c r="P63" s="105"/>
      <c r="Q63" s="116"/>
      <c r="R63" s="113"/>
      <c r="S63" s="126"/>
    </row>
    <row r="64" spans="1:27" ht="12.75" customHeight="1">
      <c r="A64" s="30">
        <v>53013000</v>
      </c>
      <c r="B64" s="24" t="s">
        <v>83</v>
      </c>
      <c r="C64" s="21"/>
      <c r="D64" s="21"/>
      <c r="E64" s="21"/>
      <c r="F64" s="21"/>
      <c r="G64" s="39"/>
      <c r="H64" s="22"/>
      <c r="I64" s="22"/>
      <c r="J64" s="22"/>
      <c r="K64" s="22"/>
      <c r="L64" s="32"/>
      <c r="M64" s="29" t="s">
        <v>9</v>
      </c>
      <c r="N64" s="65" t="s">
        <v>9</v>
      </c>
      <c r="O64" s="29" t="s">
        <v>9</v>
      </c>
      <c r="P64" s="45">
        <f>42/1000</f>
        <v>4.2000000000000003E-2</v>
      </c>
      <c r="Q64" s="23">
        <f>299/1000</f>
        <v>0.29899999999999999</v>
      </c>
      <c r="R64" s="23">
        <f>2219/1000</f>
        <v>2.2189999999999999</v>
      </c>
      <c r="S64" s="29" t="s">
        <v>9</v>
      </c>
    </row>
    <row r="65" spans="1:20" ht="12.75" customHeight="1">
      <c r="A65" s="129">
        <v>55050000</v>
      </c>
      <c r="B65" s="110" t="s">
        <v>84</v>
      </c>
      <c r="C65" s="21"/>
      <c r="D65" s="21"/>
      <c r="E65" s="21"/>
      <c r="F65" s="21"/>
      <c r="H65" s="12"/>
      <c r="I65" s="12"/>
      <c r="J65" s="12"/>
      <c r="K65" s="12"/>
      <c r="L65" s="32"/>
      <c r="M65" s="33"/>
      <c r="N65" s="114">
        <f>17191/1000</f>
        <v>17.190999999999999</v>
      </c>
      <c r="O65" s="111" t="s">
        <v>9</v>
      </c>
      <c r="P65" s="114">
        <f>240/1000</f>
        <v>0.24</v>
      </c>
      <c r="Q65" s="116">
        <f>949/1000</f>
        <v>0.94899999999999995</v>
      </c>
      <c r="R65" s="113">
        <f>900/1000</f>
        <v>0.9</v>
      </c>
      <c r="S65" s="126" t="s">
        <v>9</v>
      </c>
    </row>
    <row r="66" spans="1:20" ht="12.75" customHeight="1">
      <c r="A66" s="129"/>
      <c r="B66" s="110"/>
      <c r="C66" s="21"/>
      <c r="D66" s="21"/>
      <c r="E66" s="21"/>
      <c r="F66" s="21"/>
      <c r="G66" s="22"/>
      <c r="H66" s="22"/>
      <c r="I66" s="22"/>
      <c r="J66" s="22"/>
      <c r="K66" s="22"/>
      <c r="L66" s="32"/>
      <c r="M66" s="33"/>
      <c r="N66" s="114"/>
      <c r="O66" s="111"/>
      <c r="P66" s="114"/>
      <c r="Q66" s="116"/>
      <c r="R66" s="113"/>
      <c r="S66" s="126"/>
    </row>
    <row r="67" spans="1:20" ht="12.75" customHeight="1">
      <c r="A67" s="129"/>
      <c r="B67" s="24" t="s">
        <v>85</v>
      </c>
      <c r="C67" s="21">
        <v>3.056</v>
      </c>
      <c r="D67" s="21">
        <v>5.0129999999999999</v>
      </c>
      <c r="E67" s="21">
        <v>19.29</v>
      </c>
      <c r="F67" s="21">
        <v>15.522</v>
      </c>
      <c r="G67" s="22">
        <v>9.9459999999999997</v>
      </c>
      <c r="H67" s="22">
        <v>9.99</v>
      </c>
      <c r="I67" s="22">
        <v>35.914000000000001</v>
      </c>
      <c r="J67" s="22">
        <v>7.827</v>
      </c>
      <c r="K67" s="22">
        <v>17.82</v>
      </c>
      <c r="L67" s="32">
        <v>18.914000000000001</v>
      </c>
      <c r="M67" s="29" t="s">
        <v>9</v>
      </c>
      <c r="N67" s="114"/>
      <c r="O67" s="111"/>
      <c r="P67" s="114"/>
      <c r="Q67" s="116"/>
      <c r="R67" s="113"/>
      <c r="S67" s="126"/>
    </row>
    <row r="68" spans="1:20" ht="12.75" customHeight="1">
      <c r="A68" s="129">
        <v>63100000</v>
      </c>
      <c r="B68" s="19" t="s">
        <v>86</v>
      </c>
      <c r="C68" s="21"/>
      <c r="D68" s="21"/>
      <c r="E68" s="21"/>
      <c r="F68" s="21"/>
      <c r="H68" s="12"/>
      <c r="I68" s="12"/>
      <c r="J68" s="12"/>
      <c r="K68" s="12"/>
      <c r="L68" s="32"/>
      <c r="M68" s="33"/>
      <c r="N68" s="114">
        <f>277277/1000</f>
        <v>277.27699999999999</v>
      </c>
      <c r="O68" s="105">
        <f>310253/1000</f>
        <v>310.25299999999999</v>
      </c>
      <c r="P68" s="105">
        <f>286647/1000</f>
        <v>286.64699999999999</v>
      </c>
      <c r="Q68" s="116">
        <f>119459/1000</f>
        <v>119.459</v>
      </c>
      <c r="R68" s="113">
        <f>313233/1000</f>
        <v>313.233</v>
      </c>
      <c r="S68" s="126">
        <f>(257+240+402488)/1000</f>
        <v>402.98500000000001</v>
      </c>
    </row>
    <row r="69" spans="1:20" ht="12.75" customHeight="1">
      <c r="A69" s="129"/>
      <c r="B69" s="24" t="s">
        <v>87</v>
      </c>
      <c r="C69" s="21">
        <v>359.86700000000002</v>
      </c>
      <c r="D69" s="21">
        <v>377.03800000000001</v>
      </c>
      <c r="E69" s="21">
        <v>273.779</v>
      </c>
      <c r="F69" s="21">
        <v>209.14</v>
      </c>
      <c r="G69" s="22">
        <v>234.65100000000001</v>
      </c>
      <c r="H69" s="22">
        <v>356.08600000000001</v>
      </c>
      <c r="I69" s="22">
        <v>542.75699999999995</v>
      </c>
      <c r="J69" s="22">
        <v>540.32299999999998</v>
      </c>
      <c r="K69" s="22">
        <v>554.17700000000002</v>
      </c>
      <c r="L69" s="32">
        <v>696.83900000000006</v>
      </c>
      <c r="M69" s="33">
        <v>555.49900000000002</v>
      </c>
      <c r="N69" s="114"/>
      <c r="O69" s="105"/>
      <c r="P69" s="105"/>
      <c r="Q69" s="116"/>
      <c r="R69" s="113"/>
      <c r="S69" s="126"/>
    </row>
    <row r="70" spans="1:20" ht="12.75" customHeight="1">
      <c r="A70" s="61">
        <v>70010000</v>
      </c>
      <c r="B70" s="46" t="s">
        <v>88</v>
      </c>
      <c r="C70" s="55" t="s">
        <v>9</v>
      </c>
      <c r="D70" s="21">
        <v>5.6559999999999997</v>
      </c>
      <c r="E70" s="21">
        <v>5.0990000000000002</v>
      </c>
      <c r="F70" s="21">
        <v>4.5999999999999999E-2</v>
      </c>
      <c r="G70" s="22" t="s">
        <v>9</v>
      </c>
      <c r="H70" s="22">
        <v>3.6720000000000002</v>
      </c>
      <c r="I70" s="22" t="s">
        <v>9</v>
      </c>
      <c r="J70" s="22" t="s">
        <v>9</v>
      </c>
      <c r="K70" s="22" t="s">
        <v>9</v>
      </c>
      <c r="L70" s="32" t="s">
        <v>9</v>
      </c>
      <c r="M70" s="33">
        <v>0.495</v>
      </c>
      <c r="N70" s="29" t="s">
        <v>9</v>
      </c>
      <c r="O70" s="45">
        <f>38664/1000</f>
        <v>38.664000000000001</v>
      </c>
      <c r="P70" s="45">
        <f>7728/1000</f>
        <v>7.7279999999999998</v>
      </c>
      <c r="Q70" s="23">
        <f>12500/1000</f>
        <v>12.5</v>
      </c>
      <c r="R70" s="23">
        <f>27318/1000</f>
        <v>27.318000000000001</v>
      </c>
      <c r="S70" s="29">
        <f>46/1000</f>
        <v>4.5999999999999999E-2</v>
      </c>
    </row>
    <row r="71" spans="1:20" ht="12.75" customHeight="1">
      <c r="A71" s="30">
        <v>71120000</v>
      </c>
      <c r="B71" s="110" t="s">
        <v>89</v>
      </c>
      <c r="C71" s="55"/>
      <c r="D71" s="21"/>
      <c r="E71" s="21"/>
      <c r="F71" s="21"/>
      <c r="G71" s="39"/>
      <c r="H71" s="22"/>
      <c r="I71" s="22"/>
      <c r="J71" s="22"/>
      <c r="K71" s="22"/>
      <c r="L71" s="32"/>
      <c r="M71" s="33"/>
      <c r="N71" s="114">
        <f>17/1000</f>
        <v>1.7000000000000001E-2</v>
      </c>
      <c r="O71" s="105">
        <f>11/1000</f>
        <v>1.0999999999999999E-2</v>
      </c>
      <c r="P71" s="105">
        <f>42/1000</f>
        <v>4.2000000000000003E-2</v>
      </c>
      <c r="Q71" s="116">
        <f>77/1000</f>
        <v>7.6999999999999999E-2</v>
      </c>
      <c r="R71" s="113">
        <f>993/1000</f>
        <v>0.99299999999999999</v>
      </c>
      <c r="S71" s="126">
        <f>1350/1000</f>
        <v>1.35</v>
      </c>
    </row>
    <row r="72" spans="1:20" ht="12.75" customHeight="1">
      <c r="A72" s="30"/>
      <c r="B72" s="110"/>
      <c r="C72" s="55"/>
      <c r="D72" s="21"/>
      <c r="E72" s="21"/>
      <c r="F72" s="21"/>
      <c r="G72" s="39"/>
      <c r="H72" s="22"/>
      <c r="I72" s="22"/>
      <c r="J72" s="22"/>
      <c r="K72" s="22"/>
      <c r="L72" s="32"/>
      <c r="M72" s="33"/>
      <c r="N72" s="114"/>
      <c r="O72" s="105"/>
      <c r="P72" s="105"/>
      <c r="Q72" s="116"/>
      <c r="R72" s="113"/>
      <c r="S72" s="126"/>
      <c r="T72" s="52"/>
    </row>
    <row r="73" spans="1:20" ht="12.75" customHeight="1">
      <c r="A73" s="30"/>
      <c r="B73" s="110"/>
      <c r="C73" s="55"/>
      <c r="D73" s="21"/>
      <c r="E73" s="21"/>
      <c r="F73" s="21"/>
      <c r="G73" s="39"/>
      <c r="H73" s="22"/>
      <c r="I73" s="22"/>
      <c r="J73" s="22"/>
      <c r="K73" s="22"/>
      <c r="L73" s="32"/>
      <c r="M73" s="33"/>
      <c r="N73" s="114"/>
      <c r="O73" s="105"/>
      <c r="P73" s="105"/>
      <c r="Q73" s="116"/>
      <c r="R73" s="113"/>
      <c r="S73" s="126"/>
    </row>
    <row r="74" spans="1:20" ht="12.75" customHeight="1">
      <c r="A74" s="30"/>
      <c r="B74" s="110"/>
      <c r="C74" s="55"/>
      <c r="D74" s="21"/>
      <c r="E74" s="21"/>
      <c r="F74" s="21"/>
      <c r="G74" s="39"/>
      <c r="H74" s="22"/>
      <c r="I74" s="22"/>
      <c r="J74" s="22"/>
      <c r="K74" s="22"/>
      <c r="L74" s="32"/>
      <c r="M74" s="33"/>
      <c r="N74" s="114"/>
      <c r="O74" s="105"/>
      <c r="P74" s="105"/>
      <c r="Q74" s="116"/>
      <c r="R74" s="113"/>
      <c r="S74" s="126"/>
    </row>
    <row r="75" spans="1:20" ht="12.75" customHeight="1">
      <c r="A75" s="30"/>
      <c r="B75" s="110"/>
      <c r="C75" s="55"/>
      <c r="D75" s="21"/>
      <c r="E75" s="21"/>
      <c r="F75" s="21"/>
      <c r="G75" s="39"/>
      <c r="H75" s="22"/>
      <c r="I75" s="22"/>
      <c r="J75" s="22"/>
      <c r="K75" s="22"/>
      <c r="L75" s="32"/>
      <c r="M75" s="33"/>
      <c r="N75" s="114"/>
      <c r="O75" s="105"/>
      <c r="P75" s="105"/>
      <c r="Q75" s="116"/>
      <c r="R75" s="113"/>
      <c r="S75" s="126"/>
    </row>
    <row r="76" spans="1:20" ht="12.75" customHeight="1">
      <c r="A76" s="30"/>
      <c r="B76" s="24" t="s">
        <v>90</v>
      </c>
      <c r="C76" s="55"/>
      <c r="D76" s="21"/>
      <c r="E76" s="21"/>
      <c r="F76" s="21"/>
      <c r="G76" s="39"/>
      <c r="H76" s="22"/>
      <c r="I76" s="22"/>
      <c r="J76" s="22"/>
      <c r="K76" s="22"/>
      <c r="L76" s="32"/>
      <c r="M76" s="33"/>
      <c r="N76" s="114"/>
      <c r="O76" s="105"/>
      <c r="P76" s="105"/>
      <c r="Q76" s="116"/>
      <c r="R76" s="113"/>
      <c r="S76" s="126"/>
    </row>
    <row r="77" spans="1:20" ht="12.75" customHeight="1">
      <c r="A77" s="127">
        <v>72040000</v>
      </c>
      <c r="B77" s="19" t="s">
        <v>91</v>
      </c>
      <c r="C77" s="21"/>
      <c r="D77" s="21"/>
      <c r="E77" s="21"/>
      <c r="F77" s="21"/>
      <c r="H77" s="12"/>
      <c r="I77" s="12"/>
      <c r="J77" s="12"/>
      <c r="K77" s="12"/>
      <c r="L77" s="32"/>
      <c r="M77" s="33"/>
      <c r="N77" s="1"/>
      <c r="O77" s="12"/>
      <c r="P77" s="12"/>
      <c r="Q77" s="12"/>
      <c r="R77" s="12"/>
      <c r="S77" s="119">
        <f>((217171+1588+1115402+4873945+134530+10848)/1000)</f>
        <v>6353.4840000000004</v>
      </c>
    </row>
    <row r="78" spans="1:20" ht="12.75" customHeight="1">
      <c r="A78" s="127"/>
      <c r="B78" s="24" t="s">
        <v>92</v>
      </c>
      <c r="C78" s="26"/>
      <c r="D78" s="26"/>
      <c r="E78" s="26"/>
      <c r="F78" s="26"/>
      <c r="G78" s="22"/>
      <c r="H78" s="22"/>
      <c r="I78" s="22"/>
      <c r="J78" s="22"/>
      <c r="K78" s="22"/>
      <c r="L78" s="32"/>
      <c r="M78" s="33"/>
      <c r="N78" s="66">
        <f>503036/1000</f>
        <v>503.036</v>
      </c>
      <c r="O78" s="67">
        <f>253132/1000</f>
        <v>253.13200000000001</v>
      </c>
      <c r="P78" s="67">
        <f>34210/1000</f>
        <v>34.21</v>
      </c>
      <c r="Q78" s="68">
        <f>77205/1000</f>
        <v>77.204999999999998</v>
      </c>
      <c r="R78" s="23">
        <f>9015115/1000</f>
        <v>9015.1149999999998</v>
      </c>
      <c r="S78" s="119"/>
    </row>
    <row r="79" spans="1:20" ht="12.75" customHeight="1">
      <c r="A79" s="69">
        <v>74040000</v>
      </c>
      <c r="B79" s="70" t="s">
        <v>93</v>
      </c>
      <c r="C79" s="39" t="s">
        <v>9</v>
      </c>
      <c r="D79" s="41">
        <v>7.0279999999999996</v>
      </c>
      <c r="E79" s="41">
        <v>3.1659999999999999</v>
      </c>
      <c r="F79" s="41">
        <v>0.6</v>
      </c>
      <c r="G79" s="39" t="s">
        <v>9</v>
      </c>
      <c r="H79" s="39">
        <v>8.5</v>
      </c>
      <c r="I79" s="39" t="s">
        <v>9</v>
      </c>
      <c r="J79" s="39" t="s">
        <v>9</v>
      </c>
      <c r="K79" s="39" t="s">
        <v>9</v>
      </c>
      <c r="L79" s="71">
        <v>0.622</v>
      </c>
      <c r="M79" s="72" t="s">
        <v>9</v>
      </c>
      <c r="N79" s="33">
        <f>861/1000</f>
        <v>0.86099999999999999</v>
      </c>
      <c r="O79" s="45">
        <f>51000/1000</f>
        <v>51</v>
      </c>
      <c r="P79" s="45">
        <f>577/1000</f>
        <v>0.57699999999999996</v>
      </c>
      <c r="Q79" s="23">
        <f>151/1000</f>
        <v>0.151</v>
      </c>
      <c r="R79" s="29" t="s">
        <v>9</v>
      </c>
      <c r="S79" s="29" t="s">
        <v>9</v>
      </c>
    </row>
    <row r="80" spans="1:20" ht="12.75" customHeight="1">
      <c r="A80" s="52">
        <v>76020000</v>
      </c>
      <c r="B80" s="46" t="s">
        <v>94</v>
      </c>
      <c r="C80" s="25" t="s">
        <v>9</v>
      </c>
      <c r="D80" s="25" t="s">
        <v>9</v>
      </c>
      <c r="E80" s="25" t="s">
        <v>9</v>
      </c>
      <c r="F80" s="25" t="s">
        <v>9</v>
      </c>
      <c r="G80" s="22" t="s">
        <v>9</v>
      </c>
      <c r="H80" s="22" t="s">
        <v>9</v>
      </c>
      <c r="I80" s="22">
        <v>43.235999999999997</v>
      </c>
      <c r="J80" s="22" t="s">
        <v>9</v>
      </c>
      <c r="K80" s="22">
        <v>0.14499999999999999</v>
      </c>
      <c r="L80" s="32">
        <v>15.99</v>
      </c>
      <c r="M80" s="49">
        <v>10.130000000000001</v>
      </c>
      <c r="N80" s="66">
        <f>10000/1000</f>
        <v>10</v>
      </c>
      <c r="O80" s="67">
        <f>10170/1000</f>
        <v>10.17</v>
      </c>
      <c r="P80" s="67">
        <f>4598/1000</f>
        <v>4.5979999999999999</v>
      </c>
      <c r="Q80" s="23">
        <f>274/1000</f>
        <v>0.27400000000000002</v>
      </c>
      <c r="R80" s="23">
        <f>10900/1000</f>
        <v>10.9</v>
      </c>
      <c r="S80" s="34">
        <f>14130/1000</f>
        <v>14.13</v>
      </c>
    </row>
    <row r="81" spans="1:19" ht="15.95" hidden="1" customHeight="1">
      <c r="A81" s="50">
        <v>78020000</v>
      </c>
      <c r="B81" s="31" t="s">
        <v>44</v>
      </c>
      <c r="C81" s="25"/>
      <c r="D81" s="25"/>
      <c r="E81" s="25"/>
      <c r="F81" s="25"/>
      <c r="G81" s="39"/>
      <c r="H81" s="22"/>
      <c r="I81" s="22"/>
      <c r="J81" s="22"/>
      <c r="K81" s="22"/>
      <c r="L81" s="32"/>
      <c r="M81" s="49"/>
      <c r="N81" s="66"/>
      <c r="O81" s="67"/>
      <c r="P81" s="67"/>
      <c r="Q81" s="23"/>
      <c r="R81" s="23"/>
      <c r="S81" s="34"/>
    </row>
    <row r="82" spans="1:19" ht="15.95" hidden="1" customHeight="1">
      <c r="A82" s="63" t="s">
        <v>95</v>
      </c>
      <c r="B82" s="73" t="s">
        <v>96</v>
      </c>
      <c r="C82" s="25"/>
      <c r="D82" s="25"/>
      <c r="E82" s="25"/>
      <c r="F82" s="25"/>
      <c r="G82" s="39"/>
      <c r="H82" s="22"/>
      <c r="I82" s="22"/>
      <c r="J82" s="22"/>
      <c r="K82" s="22"/>
      <c r="L82" s="32"/>
      <c r="M82" s="49"/>
      <c r="N82" s="66"/>
      <c r="O82" s="67"/>
      <c r="P82" s="67"/>
      <c r="Q82" s="23"/>
      <c r="R82" s="23"/>
      <c r="S82" s="34"/>
    </row>
    <row r="83" spans="1:19" ht="15.95" hidden="1" customHeight="1">
      <c r="A83" s="50">
        <v>80020000</v>
      </c>
      <c r="B83" s="31" t="s">
        <v>46</v>
      </c>
      <c r="C83" s="25"/>
      <c r="D83" s="25"/>
      <c r="E83" s="25"/>
      <c r="F83" s="25"/>
      <c r="G83" s="39"/>
      <c r="H83" s="22"/>
      <c r="I83" s="22"/>
      <c r="J83" s="22"/>
      <c r="K83" s="22"/>
      <c r="L83" s="32"/>
      <c r="M83" s="49"/>
      <c r="N83" s="66"/>
      <c r="O83" s="67"/>
      <c r="P83" s="67"/>
      <c r="Q83" s="23"/>
      <c r="R83" s="23"/>
      <c r="S83" s="34"/>
    </row>
    <row r="84" spans="1:19" ht="15.95" hidden="1" customHeight="1">
      <c r="A84" s="50">
        <v>81019700</v>
      </c>
      <c r="B84" s="31" t="s">
        <v>97</v>
      </c>
      <c r="C84" s="25"/>
      <c r="D84" s="25"/>
      <c r="E84" s="25"/>
      <c r="F84" s="25"/>
      <c r="G84" s="39"/>
      <c r="H84" s="22"/>
      <c r="I84" s="22"/>
      <c r="J84" s="22"/>
      <c r="K84" s="22"/>
      <c r="L84" s="32"/>
      <c r="M84" s="49"/>
      <c r="N84" s="66"/>
      <c r="O84" s="67"/>
      <c r="P84" s="67"/>
      <c r="Q84" s="23"/>
      <c r="R84" s="23"/>
      <c r="S84" s="34"/>
    </row>
    <row r="85" spans="1:19" ht="15.95" hidden="1" customHeight="1">
      <c r="A85" s="50">
        <v>81029700</v>
      </c>
      <c r="B85" s="31" t="s">
        <v>48</v>
      </c>
      <c r="C85" s="25"/>
      <c r="D85" s="25"/>
      <c r="E85" s="25"/>
      <c r="F85" s="25"/>
      <c r="G85" s="39"/>
      <c r="H85" s="22"/>
      <c r="I85" s="22"/>
      <c r="J85" s="22"/>
      <c r="K85" s="22"/>
      <c r="L85" s="32"/>
      <c r="M85" s="49"/>
      <c r="N85" s="66"/>
      <c r="O85" s="67"/>
      <c r="P85" s="67"/>
      <c r="Q85" s="23"/>
      <c r="R85" s="23"/>
      <c r="S85" s="34"/>
    </row>
    <row r="86" spans="1:19" ht="15.95" hidden="1" customHeight="1">
      <c r="A86" s="50">
        <v>81033000</v>
      </c>
      <c r="B86" s="31" t="s">
        <v>50</v>
      </c>
      <c r="C86" s="25"/>
      <c r="D86" s="25"/>
      <c r="E86" s="25"/>
      <c r="F86" s="25"/>
      <c r="G86" s="39"/>
      <c r="H86" s="22"/>
      <c r="I86" s="22"/>
      <c r="J86" s="22"/>
      <c r="K86" s="22"/>
      <c r="L86" s="32"/>
      <c r="M86" s="49"/>
      <c r="N86" s="66"/>
      <c r="O86" s="67"/>
      <c r="P86" s="67"/>
      <c r="Q86" s="23"/>
      <c r="R86" s="23"/>
      <c r="S86" s="34"/>
    </row>
    <row r="87" spans="1:19" ht="15.95" hidden="1" customHeight="1">
      <c r="A87" s="50">
        <v>81042000</v>
      </c>
      <c r="B87" s="31" t="s">
        <v>52</v>
      </c>
      <c r="C87" s="25"/>
      <c r="D87" s="25"/>
      <c r="E87" s="25"/>
      <c r="F87" s="25"/>
      <c r="G87" s="39"/>
      <c r="H87" s="22"/>
      <c r="I87" s="22"/>
      <c r="J87" s="22"/>
      <c r="K87" s="22"/>
      <c r="L87" s="32"/>
      <c r="M87" s="49"/>
      <c r="N87" s="66"/>
      <c r="O87" s="67"/>
      <c r="P87" s="67"/>
      <c r="Q87" s="23"/>
      <c r="R87" s="23"/>
      <c r="S87" s="34"/>
    </row>
    <row r="88" spans="1:19" ht="15.95" hidden="1" customHeight="1">
      <c r="A88" s="50">
        <v>81053000</v>
      </c>
      <c r="B88" s="31" t="s">
        <v>54</v>
      </c>
      <c r="C88" s="25"/>
      <c r="D88" s="25"/>
      <c r="E88" s="25"/>
      <c r="F88" s="25"/>
      <c r="G88" s="39"/>
      <c r="H88" s="22"/>
      <c r="I88" s="22"/>
      <c r="J88" s="22"/>
      <c r="K88" s="22"/>
      <c r="L88" s="32"/>
      <c r="M88" s="49"/>
      <c r="N88" s="66"/>
      <c r="O88" s="67"/>
      <c r="P88" s="67"/>
      <c r="Q88" s="23"/>
      <c r="R88" s="23"/>
      <c r="S88" s="34"/>
    </row>
    <row r="89" spans="1:19" ht="15.95" hidden="1" customHeight="1">
      <c r="A89" s="50">
        <v>81060000</v>
      </c>
      <c r="B89" s="31" t="s">
        <v>55</v>
      </c>
      <c r="C89" s="25"/>
      <c r="D89" s="25"/>
      <c r="E89" s="25"/>
      <c r="F89" s="25"/>
      <c r="G89" s="39"/>
      <c r="H89" s="22"/>
      <c r="I89" s="22"/>
      <c r="J89" s="22"/>
      <c r="K89" s="22"/>
      <c r="L89" s="32"/>
      <c r="M89" s="49"/>
      <c r="N89" s="66"/>
      <c r="O89" s="67"/>
      <c r="P89" s="67"/>
      <c r="Q89" s="23"/>
      <c r="R89" s="23"/>
      <c r="S89" s="34"/>
    </row>
    <row r="90" spans="1:19" ht="15.95" hidden="1" customHeight="1">
      <c r="A90" s="50">
        <v>81073000</v>
      </c>
      <c r="B90" s="31" t="s">
        <v>56</v>
      </c>
      <c r="C90" s="25"/>
      <c r="D90" s="25"/>
      <c r="E90" s="25"/>
      <c r="F90" s="25"/>
      <c r="G90" s="39"/>
      <c r="H90" s="22"/>
      <c r="I90" s="22"/>
      <c r="J90" s="22"/>
      <c r="K90" s="22"/>
      <c r="L90" s="32"/>
      <c r="M90" s="49"/>
      <c r="N90" s="66"/>
      <c r="O90" s="67"/>
      <c r="P90" s="67"/>
      <c r="Q90" s="23"/>
      <c r="R90" s="23"/>
      <c r="S90" s="34"/>
    </row>
    <row r="91" spans="1:19" ht="15.95" hidden="1" customHeight="1">
      <c r="A91" s="50">
        <v>81083000</v>
      </c>
      <c r="B91" s="31" t="s">
        <v>58</v>
      </c>
      <c r="C91" s="25"/>
      <c r="D91" s="25"/>
      <c r="E91" s="25"/>
      <c r="F91" s="25"/>
      <c r="G91" s="39"/>
      <c r="H91" s="22"/>
      <c r="I91" s="22"/>
      <c r="J91" s="22"/>
      <c r="K91" s="22"/>
      <c r="L91" s="32"/>
      <c r="M91" s="49"/>
      <c r="N91" s="66"/>
      <c r="O91" s="67"/>
      <c r="P91" s="67"/>
      <c r="Q91" s="23"/>
      <c r="R91" s="23"/>
      <c r="S91" s="34"/>
    </row>
    <row r="92" spans="1:19" ht="15.95" hidden="1" customHeight="1">
      <c r="A92" s="50">
        <v>81093000</v>
      </c>
      <c r="B92" s="31" t="s">
        <v>98</v>
      </c>
      <c r="C92" s="25"/>
      <c r="D92" s="25"/>
      <c r="E92" s="25"/>
      <c r="F92" s="25"/>
      <c r="G92" s="39"/>
      <c r="H92" s="22"/>
      <c r="I92" s="22"/>
      <c r="J92" s="22"/>
      <c r="K92" s="22"/>
      <c r="L92" s="32"/>
      <c r="M92" s="49"/>
      <c r="N92" s="66"/>
      <c r="O92" s="67"/>
      <c r="P92" s="67"/>
      <c r="Q92" s="23"/>
      <c r="R92" s="23"/>
      <c r="S92" s="34"/>
    </row>
    <row r="93" spans="1:19" ht="15.95" hidden="1" customHeight="1">
      <c r="A93" s="50">
        <v>81102000</v>
      </c>
      <c r="B93" s="31" t="s">
        <v>66</v>
      </c>
      <c r="C93" s="25"/>
      <c r="D93" s="25"/>
      <c r="E93" s="25"/>
      <c r="F93" s="25"/>
      <c r="G93" s="39"/>
      <c r="H93" s="22"/>
      <c r="I93" s="22"/>
      <c r="J93" s="22"/>
      <c r="K93" s="22"/>
      <c r="L93" s="32"/>
      <c r="M93" s="49"/>
      <c r="N93" s="66"/>
      <c r="O93" s="67"/>
      <c r="P93" s="67"/>
      <c r="Q93" s="23"/>
      <c r="R93" s="23"/>
      <c r="S93" s="34"/>
    </row>
    <row r="94" spans="1:19" ht="15.95" hidden="1" customHeight="1">
      <c r="A94" s="50">
        <v>81110000</v>
      </c>
      <c r="B94" s="31" t="s">
        <v>68</v>
      </c>
      <c r="C94" s="25"/>
      <c r="D94" s="25"/>
      <c r="E94" s="25"/>
      <c r="F94" s="25"/>
      <c r="G94" s="39"/>
      <c r="H94" s="22"/>
      <c r="I94" s="22"/>
      <c r="J94" s="22"/>
      <c r="K94" s="22"/>
      <c r="L94" s="32"/>
      <c r="M94" s="49"/>
      <c r="N94" s="66"/>
      <c r="O94" s="67"/>
      <c r="P94" s="67"/>
      <c r="Q94" s="23"/>
      <c r="R94" s="23"/>
      <c r="S94" s="34"/>
    </row>
    <row r="95" spans="1:19" ht="15.95" hidden="1" customHeight="1">
      <c r="A95" s="50">
        <v>81121300</v>
      </c>
      <c r="B95" s="31" t="s">
        <v>99</v>
      </c>
      <c r="C95" s="25"/>
      <c r="D95" s="25"/>
      <c r="E95" s="25"/>
      <c r="F95" s="25"/>
      <c r="G95" s="39"/>
      <c r="H95" s="22"/>
      <c r="I95" s="22"/>
      <c r="J95" s="22"/>
      <c r="K95" s="22"/>
      <c r="L95" s="32"/>
      <c r="M95" s="49"/>
      <c r="N95" s="66"/>
      <c r="O95" s="67"/>
      <c r="P95" s="67"/>
      <c r="Q95" s="23"/>
      <c r="R95" s="23"/>
      <c r="S95" s="34"/>
    </row>
    <row r="96" spans="1:19" ht="15.95" hidden="1" customHeight="1">
      <c r="A96" s="50">
        <v>81122200</v>
      </c>
      <c r="B96" s="31" t="s">
        <v>100</v>
      </c>
      <c r="C96" s="25"/>
      <c r="D96" s="25"/>
      <c r="E96" s="25"/>
      <c r="F96" s="25"/>
      <c r="G96" s="39"/>
      <c r="H96" s="22"/>
      <c r="I96" s="22"/>
      <c r="J96" s="22"/>
      <c r="K96" s="22"/>
      <c r="L96" s="32"/>
      <c r="M96" s="49"/>
      <c r="N96" s="66"/>
      <c r="O96" s="67"/>
      <c r="P96" s="67"/>
      <c r="Q96" s="23"/>
      <c r="R96" s="23"/>
      <c r="S96" s="34"/>
    </row>
    <row r="97" spans="1:19" ht="15.95" hidden="1" customHeight="1">
      <c r="A97" s="50">
        <v>81125200</v>
      </c>
      <c r="B97" s="31" t="s">
        <v>70</v>
      </c>
      <c r="C97" s="25"/>
      <c r="D97" s="25"/>
      <c r="E97" s="25"/>
      <c r="F97" s="25"/>
      <c r="G97" s="39"/>
      <c r="H97" s="22"/>
      <c r="I97" s="22"/>
      <c r="J97" s="22"/>
      <c r="K97" s="22"/>
      <c r="L97" s="32"/>
      <c r="M97" s="49"/>
      <c r="N97" s="66"/>
      <c r="O97" s="67"/>
      <c r="P97" s="67"/>
      <c r="Q97" s="23"/>
      <c r="R97" s="23"/>
      <c r="S97" s="34"/>
    </row>
    <row r="98" spans="1:19" ht="15.95" hidden="1" customHeight="1">
      <c r="A98" s="63" t="s">
        <v>101</v>
      </c>
      <c r="B98" s="59" t="s">
        <v>102</v>
      </c>
      <c r="C98" s="25"/>
      <c r="D98" s="25"/>
      <c r="E98" s="25"/>
      <c r="F98" s="25"/>
      <c r="G98" s="39"/>
      <c r="H98" s="22"/>
      <c r="I98" s="22"/>
      <c r="J98" s="22"/>
      <c r="K98" s="22"/>
      <c r="L98" s="32"/>
      <c r="M98" s="49"/>
      <c r="N98" s="66"/>
      <c r="O98" s="67"/>
      <c r="P98" s="67"/>
      <c r="Q98" s="23"/>
      <c r="R98" s="23"/>
      <c r="S98" s="34"/>
    </row>
    <row r="99" spans="1:19" ht="12.75" customHeight="1">
      <c r="A99" s="122" t="s">
        <v>103</v>
      </c>
      <c r="B99" s="123" t="s">
        <v>104</v>
      </c>
      <c r="C99" s="25"/>
      <c r="D99" s="25"/>
      <c r="E99" s="25"/>
      <c r="F99" s="25"/>
      <c r="G99" s="39"/>
      <c r="H99" s="22"/>
      <c r="I99" s="22"/>
      <c r="J99" s="22"/>
      <c r="K99" s="22"/>
      <c r="L99" s="32"/>
      <c r="M99" s="49"/>
      <c r="N99" s="111" t="s">
        <v>9</v>
      </c>
      <c r="O99" s="111" t="s">
        <v>9</v>
      </c>
      <c r="P99" s="105">
        <f>803/1000</f>
        <v>0.80300000000000005</v>
      </c>
      <c r="Q99" s="113">
        <f>1/1000</f>
        <v>1E-3</v>
      </c>
      <c r="R99" s="113">
        <f>29/1000</f>
        <v>2.9000000000000001E-2</v>
      </c>
      <c r="S99" s="120">
        <f>7/1000</f>
        <v>7.0000000000000001E-3</v>
      </c>
    </row>
    <row r="100" spans="1:19" ht="12.75" customHeight="1">
      <c r="A100" s="122"/>
      <c r="B100" s="123"/>
      <c r="C100" s="25"/>
      <c r="D100" s="25"/>
      <c r="E100" s="25"/>
      <c r="F100" s="25"/>
      <c r="G100" s="39"/>
      <c r="H100" s="22"/>
      <c r="I100" s="22"/>
      <c r="J100" s="22"/>
      <c r="K100" s="22"/>
      <c r="L100" s="32"/>
      <c r="M100" s="49"/>
      <c r="N100" s="111"/>
      <c r="O100" s="111"/>
      <c r="P100" s="105"/>
      <c r="Q100" s="113"/>
      <c r="R100" s="113"/>
      <c r="S100" s="120"/>
    </row>
    <row r="101" spans="1:19" ht="12.75" customHeight="1">
      <c r="A101" s="122"/>
      <c r="B101" s="123"/>
      <c r="C101" s="25"/>
      <c r="D101" s="25"/>
      <c r="E101" s="25"/>
      <c r="F101" s="25"/>
      <c r="G101" s="39"/>
      <c r="H101" s="22"/>
      <c r="I101" s="22"/>
      <c r="J101" s="22"/>
      <c r="K101" s="22"/>
      <c r="L101" s="32"/>
      <c r="M101" s="49"/>
      <c r="N101" s="111"/>
      <c r="O101" s="111"/>
      <c r="P101" s="105"/>
      <c r="Q101" s="113"/>
      <c r="R101" s="113"/>
      <c r="S101" s="120"/>
    </row>
    <row r="102" spans="1:19" ht="12.75" customHeight="1">
      <c r="A102" s="122"/>
      <c r="B102" s="24" t="s">
        <v>105</v>
      </c>
      <c r="C102" s="25"/>
      <c r="D102" s="25"/>
      <c r="E102" s="25"/>
      <c r="F102" s="25"/>
      <c r="G102" s="39"/>
      <c r="H102" s="22"/>
      <c r="I102" s="22"/>
      <c r="J102" s="22"/>
      <c r="K102" s="22"/>
      <c r="L102" s="32"/>
      <c r="M102" s="49"/>
      <c r="N102" s="111"/>
      <c r="O102" s="111"/>
      <c r="P102" s="105"/>
      <c r="Q102" s="113"/>
      <c r="R102" s="113"/>
      <c r="S102" s="120"/>
    </row>
    <row r="103" spans="1:19" ht="15.95" hidden="1" customHeight="1">
      <c r="A103" s="62" t="s">
        <v>106</v>
      </c>
      <c r="B103" s="59" t="s">
        <v>107</v>
      </c>
      <c r="C103" s="25"/>
      <c r="D103" s="25"/>
      <c r="E103" s="25"/>
      <c r="F103" s="25"/>
      <c r="G103" s="39"/>
      <c r="H103" s="22"/>
      <c r="I103" s="22"/>
      <c r="J103" s="22"/>
      <c r="K103" s="22"/>
      <c r="L103" s="32"/>
      <c r="M103" s="49"/>
      <c r="N103" s="66"/>
      <c r="O103" s="67"/>
      <c r="P103" s="67"/>
      <c r="Q103" s="23"/>
      <c r="R103" s="23"/>
      <c r="S103" s="34"/>
    </row>
    <row r="104" spans="1:19" ht="15.95" hidden="1" customHeight="1">
      <c r="A104" s="74"/>
      <c r="B104" s="59" t="s">
        <v>108</v>
      </c>
      <c r="C104" s="25"/>
      <c r="D104" s="25"/>
      <c r="E104" s="25"/>
      <c r="F104" s="25"/>
      <c r="G104" s="39"/>
      <c r="H104" s="22"/>
      <c r="I104" s="22"/>
      <c r="J104" s="22"/>
      <c r="K104" s="22"/>
      <c r="L104" s="32"/>
      <c r="M104" s="49"/>
      <c r="N104" s="66"/>
      <c r="O104" s="67"/>
      <c r="P104" s="67"/>
      <c r="Q104" s="23"/>
      <c r="R104" s="23"/>
      <c r="S104" s="34"/>
    </row>
    <row r="105" spans="1:19" ht="15.95" hidden="1" customHeight="1">
      <c r="A105" s="74"/>
      <c r="B105" s="59" t="s">
        <v>109</v>
      </c>
      <c r="C105" s="25"/>
      <c r="D105" s="25"/>
      <c r="E105" s="25"/>
      <c r="F105" s="25"/>
      <c r="G105" s="39"/>
      <c r="H105" s="22"/>
      <c r="I105" s="22"/>
      <c r="J105" s="22"/>
      <c r="K105" s="22"/>
      <c r="L105" s="32"/>
      <c r="M105" s="49"/>
      <c r="N105" s="66"/>
      <c r="O105" s="67"/>
      <c r="P105" s="67"/>
      <c r="Q105" s="23"/>
      <c r="R105" s="23"/>
      <c r="S105" s="34"/>
    </row>
    <row r="106" spans="1:19" ht="15.95" hidden="1" customHeight="1">
      <c r="A106" s="74"/>
      <c r="B106" s="59" t="s">
        <v>110</v>
      </c>
      <c r="C106" s="25"/>
      <c r="D106" s="25"/>
      <c r="E106" s="25"/>
      <c r="F106" s="25"/>
      <c r="G106" s="39"/>
      <c r="H106" s="22"/>
      <c r="I106" s="22"/>
      <c r="J106" s="22"/>
      <c r="K106" s="22"/>
      <c r="L106" s="32"/>
      <c r="M106" s="49"/>
      <c r="N106" s="66"/>
      <c r="O106" s="67"/>
      <c r="P106" s="67"/>
      <c r="Q106" s="23"/>
      <c r="R106" s="23"/>
      <c r="S106" s="34"/>
    </row>
    <row r="107" spans="1:19" ht="15.95" hidden="1" customHeight="1">
      <c r="A107" s="74"/>
      <c r="B107" s="59" t="s">
        <v>111</v>
      </c>
      <c r="C107" s="25"/>
      <c r="D107" s="25"/>
      <c r="E107" s="25"/>
      <c r="F107" s="25"/>
      <c r="G107" s="39"/>
      <c r="H107" s="22"/>
      <c r="I107" s="22"/>
      <c r="J107" s="22"/>
      <c r="K107" s="22"/>
      <c r="L107" s="32"/>
      <c r="M107" s="49"/>
      <c r="N107" s="66"/>
      <c r="O107" s="67"/>
      <c r="P107" s="67"/>
      <c r="Q107" s="23"/>
      <c r="R107" s="23"/>
      <c r="S107" s="34"/>
    </row>
    <row r="108" spans="1:19" ht="15.95" hidden="1" customHeight="1">
      <c r="A108" s="62" t="s">
        <v>112</v>
      </c>
      <c r="B108" s="59" t="s">
        <v>107</v>
      </c>
      <c r="C108" s="25"/>
      <c r="D108" s="25"/>
      <c r="E108" s="25"/>
      <c r="F108" s="25"/>
      <c r="G108" s="39"/>
      <c r="H108" s="22"/>
      <c r="I108" s="22"/>
      <c r="J108" s="22"/>
      <c r="K108" s="22"/>
      <c r="L108" s="32"/>
      <c r="M108" s="49"/>
      <c r="N108" s="66"/>
      <c r="O108" s="67"/>
      <c r="P108" s="67"/>
      <c r="Q108" s="23"/>
      <c r="R108" s="23"/>
      <c r="S108" s="34"/>
    </row>
    <row r="109" spans="1:19" ht="15.95" hidden="1" customHeight="1">
      <c r="A109" s="74"/>
      <c r="B109" s="59" t="s">
        <v>108</v>
      </c>
      <c r="C109" s="25"/>
      <c r="D109" s="25"/>
      <c r="E109" s="25"/>
      <c r="F109" s="25"/>
      <c r="G109" s="39"/>
      <c r="H109" s="22"/>
      <c r="I109" s="22"/>
      <c r="J109" s="22"/>
      <c r="K109" s="22"/>
      <c r="L109" s="32"/>
      <c r="M109" s="49"/>
      <c r="N109" s="66"/>
      <c r="O109" s="67"/>
      <c r="P109" s="67"/>
      <c r="Q109" s="23"/>
      <c r="R109" s="23"/>
      <c r="S109" s="34"/>
    </row>
    <row r="110" spans="1:19" ht="15.95" hidden="1" customHeight="1">
      <c r="A110" s="74"/>
      <c r="B110" s="59" t="s">
        <v>109</v>
      </c>
      <c r="C110" s="25"/>
      <c r="D110" s="25"/>
      <c r="E110" s="25"/>
      <c r="F110" s="25"/>
      <c r="G110" s="39"/>
      <c r="H110" s="22"/>
      <c r="I110" s="22"/>
      <c r="J110" s="22"/>
      <c r="K110" s="22"/>
      <c r="L110" s="32"/>
      <c r="M110" s="49"/>
      <c r="N110" s="66"/>
      <c r="O110" s="67"/>
      <c r="P110" s="67"/>
      <c r="Q110" s="23"/>
      <c r="R110" s="23"/>
      <c r="S110" s="34"/>
    </row>
    <row r="111" spans="1:19" ht="15.95" hidden="1" customHeight="1">
      <c r="A111" s="74"/>
      <c r="B111" s="59" t="s">
        <v>110</v>
      </c>
      <c r="C111" s="25"/>
      <c r="D111" s="25"/>
      <c r="E111" s="25"/>
      <c r="F111" s="25"/>
      <c r="G111" s="39"/>
      <c r="H111" s="22"/>
      <c r="I111" s="22"/>
      <c r="J111" s="22"/>
      <c r="K111" s="22"/>
      <c r="L111" s="32"/>
      <c r="M111" s="49"/>
      <c r="N111" s="66"/>
      <c r="O111" s="67"/>
      <c r="P111" s="67"/>
      <c r="Q111" s="23"/>
      <c r="R111" s="23"/>
      <c r="S111" s="34"/>
    </row>
    <row r="112" spans="1:19" ht="15.95" hidden="1" customHeight="1">
      <c r="A112" s="74"/>
      <c r="B112" s="59" t="s">
        <v>113</v>
      </c>
      <c r="C112" s="25"/>
      <c r="D112" s="25"/>
      <c r="E112" s="25"/>
      <c r="F112" s="25"/>
      <c r="G112" s="39"/>
      <c r="H112" s="22"/>
      <c r="I112" s="22"/>
      <c r="J112" s="22"/>
      <c r="K112" s="22"/>
      <c r="L112" s="32"/>
      <c r="M112" s="49"/>
      <c r="N112" s="66"/>
      <c r="O112" s="67"/>
      <c r="P112" s="67"/>
      <c r="Q112" s="23"/>
      <c r="R112" s="23"/>
      <c r="S112" s="34"/>
    </row>
    <row r="113" spans="1:19" ht="12.75" customHeight="1">
      <c r="A113" s="122" t="s">
        <v>114</v>
      </c>
      <c r="B113" s="123" t="s">
        <v>115</v>
      </c>
      <c r="C113" s="25"/>
      <c r="D113" s="25"/>
      <c r="E113" s="25"/>
      <c r="F113" s="25"/>
      <c r="G113" s="39"/>
      <c r="H113" s="22"/>
      <c r="I113" s="22"/>
      <c r="J113" s="22"/>
      <c r="K113" s="22"/>
      <c r="L113" s="32"/>
      <c r="M113" s="49"/>
      <c r="N113" s="111" t="s">
        <v>9</v>
      </c>
      <c r="O113" s="111" t="s">
        <v>9</v>
      </c>
      <c r="P113" s="105">
        <f>228/1000</f>
        <v>0.22800000000000001</v>
      </c>
      <c r="Q113" s="126" t="s">
        <v>9</v>
      </c>
      <c r="R113" s="126" t="s">
        <v>9</v>
      </c>
      <c r="S113" s="34"/>
    </row>
    <row r="114" spans="1:19" ht="12.75" customHeight="1">
      <c r="A114" s="122"/>
      <c r="B114" s="123"/>
      <c r="C114" s="25"/>
      <c r="D114" s="25"/>
      <c r="E114" s="25"/>
      <c r="F114" s="25"/>
      <c r="G114" s="39"/>
      <c r="H114" s="22"/>
      <c r="I114" s="22"/>
      <c r="J114" s="22"/>
      <c r="K114" s="22"/>
      <c r="L114" s="32"/>
      <c r="M114" s="49"/>
      <c r="N114" s="111"/>
      <c r="O114" s="111"/>
      <c r="P114" s="105"/>
      <c r="Q114" s="126"/>
      <c r="R114" s="118"/>
      <c r="S114" s="75"/>
    </row>
    <row r="115" spans="1:19" ht="12.75" customHeight="1">
      <c r="A115" s="122"/>
      <c r="B115" s="123"/>
      <c r="C115" s="25"/>
      <c r="D115" s="25"/>
      <c r="E115" s="25"/>
      <c r="F115" s="25"/>
      <c r="G115" s="39"/>
      <c r="H115" s="22"/>
      <c r="I115" s="22"/>
      <c r="J115" s="22"/>
      <c r="K115" s="22"/>
      <c r="L115" s="32"/>
      <c r="M115" s="49"/>
      <c r="N115" s="111"/>
      <c r="O115" s="111"/>
      <c r="P115" s="105"/>
      <c r="Q115" s="126"/>
      <c r="R115" s="118"/>
      <c r="S115" s="75"/>
    </row>
    <row r="116" spans="1:19" ht="12.75" customHeight="1">
      <c r="A116" s="122"/>
      <c r="B116" s="123"/>
      <c r="C116" s="25"/>
      <c r="D116" s="25"/>
      <c r="E116" s="25"/>
      <c r="F116" s="25"/>
      <c r="G116" s="39"/>
      <c r="H116" s="22"/>
      <c r="I116" s="22"/>
      <c r="J116" s="22"/>
      <c r="K116" s="22"/>
      <c r="L116" s="32"/>
      <c r="M116" s="49"/>
      <c r="N116" s="111"/>
      <c r="O116" s="111"/>
      <c r="P116" s="105"/>
      <c r="Q116" s="126"/>
      <c r="R116" s="118"/>
      <c r="S116" s="75"/>
    </row>
    <row r="117" spans="1:19" ht="12.75" customHeight="1">
      <c r="A117" s="122"/>
      <c r="B117" s="24" t="s">
        <v>116</v>
      </c>
      <c r="C117" s="25"/>
      <c r="D117" s="25"/>
      <c r="E117" s="25"/>
      <c r="F117" s="25"/>
      <c r="G117" s="39"/>
      <c r="H117" s="22"/>
      <c r="I117" s="22"/>
      <c r="J117" s="22"/>
      <c r="K117" s="22"/>
      <c r="L117" s="32"/>
      <c r="M117" s="49"/>
      <c r="N117" s="111"/>
      <c r="O117" s="111"/>
      <c r="P117" s="105"/>
      <c r="Q117" s="126"/>
      <c r="R117" s="118"/>
      <c r="S117" s="75">
        <f>53/1000</f>
        <v>5.2999999999999999E-2</v>
      </c>
    </row>
    <row r="118" spans="1:19" ht="12.75" customHeight="1">
      <c r="A118" s="109">
        <v>85481000</v>
      </c>
      <c r="B118" s="110" t="s">
        <v>117</v>
      </c>
      <c r="C118" s="26"/>
      <c r="D118" s="26"/>
      <c r="E118" s="26"/>
      <c r="F118" s="26"/>
      <c r="H118" s="31"/>
      <c r="I118" s="12"/>
      <c r="J118" s="12"/>
      <c r="K118" s="12"/>
      <c r="L118" s="32"/>
      <c r="M118" s="49"/>
      <c r="N118" s="111" t="s">
        <v>9</v>
      </c>
      <c r="O118" s="111" t="s">
        <v>9</v>
      </c>
      <c r="P118" s="111" t="s">
        <v>9</v>
      </c>
      <c r="Q118" s="113">
        <f>2500/1000</f>
        <v>2.5</v>
      </c>
      <c r="R118" s="113">
        <f>62/1000</f>
        <v>6.2E-2</v>
      </c>
      <c r="S118" s="76"/>
    </row>
    <row r="119" spans="1:19" ht="12.75" customHeight="1">
      <c r="A119" s="109"/>
      <c r="B119" s="110"/>
      <c r="C119" s="26"/>
      <c r="D119" s="26"/>
      <c r="E119" s="26"/>
      <c r="F119" s="26"/>
      <c r="G119" s="22"/>
      <c r="H119" s="22"/>
      <c r="I119" s="22"/>
      <c r="J119" s="22"/>
      <c r="K119" s="22"/>
      <c r="L119" s="32"/>
      <c r="M119" s="49"/>
      <c r="N119" s="111"/>
      <c r="O119" s="111"/>
      <c r="P119" s="111"/>
      <c r="Q119" s="113"/>
      <c r="R119" s="113"/>
      <c r="S119" s="34"/>
    </row>
    <row r="120" spans="1:19" ht="12.75" customHeight="1">
      <c r="A120" s="109"/>
      <c r="B120" s="24" t="s">
        <v>118</v>
      </c>
      <c r="C120" s="26">
        <v>0.13600000000000001</v>
      </c>
      <c r="D120" s="25" t="s">
        <v>9</v>
      </c>
      <c r="E120" s="26">
        <v>0.80500000000000005</v>
      </c>
      <c r="F120" s="26">
        <v>0.152</v>
      </c>
      <c r="G120" s="22">
        <v>0.42</v>
      </c>
      <c r="H120" s="22">
        <v>0.13400000000000001</v>
      </c>
      <c r="I120" s="22">
        <v>0.53500000000000003</v>
      </c>
      <c r="J120" s="22">
        <v>2.1000000000000001E-2</v>
      </c>
      <c r="K120" s="22" t="s">
        <v>9</v>
      </c>
      <c r="L120" s="32" t="s">
        <v>9</v>
      </c>
      <c r="M120" s="65" t="s">
        <v>9</v>
      </c>
      <c r="N120" s="111"/>
      <c r="O120" s="111"/>
      <c r="P120" s="111"/>
      <c r="Q120" s="113"/>
      <c r="R120" s="113"/>
      <c r="S120" s="76">
        <f>10/1000</f>
        <v>0.01</v>
      </c>
    </row>
    <row r="121" spans="1:19" ht="12.75" customHeight="1">
      <c r="A121" s="77"/>
      <c r="B121" s="78"/>
      <c r="C121" s="79"/>
      <c r="D121" s="79"/>
      <c r="E121" s="79"/>
      <c r="F121" s="79"/>
      <c r="G121" s="79"/>
      <c r="H121" s="80"/>
      <c r="I121" s="80"/>
      <c r="J121" s="80"/>
      <c r="K121" s="78"/>
      <c r="L121" s="81"/>
      <c r="M121" s="82"/>
      <c r="N121" s="83"/>
      <c r="O121" s="82"/>
      <c r="P121" s="82"/>
      <c r="Q121" s="84"/>
      <c r="R121" s="84"/>
      <c r="S121" s="85"/>
    </row>
    <row r="122" spans="1:19">
      <c r="O122" s="86"/>
      <c r="P122" s="86"/>
      <c r="Q122" s="86"/>
      <c r="R122" s="86"/>
      <c r="S122" s="87"/>
    </row>
    <row r="123" spans="1:19" ht="12.75" customHeight="1">
      <c r="A123" s="1" t="s">
        <v>119</v>
      </c>
      <c r="H123" s="52"/>
      <c r="N123" s="1"/>
    </row>
    <row r="124" spans="1:19">
      <c r="A124" s="1" t="s">
        <v>120</v>
      </c>
      <c r="H124" s="52"/>
      <c r="N124" s="1"/>
    </row>
    <row r="125" spans="1:19">
      <c r="A125" s="88" t="s">
        <v>121</v>
      </c>
      <c r="H125" s="52"/>
      <c r="N125" s="1"/>
    </row>
    <row r="126" spans="1:19" s="89" customFormat="1" ht="12.75" customHeight="1">
      <c r="A126" s="52" t="s">
        <v>122</v>
      </c>
      <c r="C126" s="90"/>
      <c r="S126" s="91"/>
    </row>
    <row r="127" spans="1:19">
      <c r="A127" s="88" t="s">
        <v>123</v>
      </c>
      <c r="H127" s="52"/>
      <c r="N127" s="1"/>
    </row>
    <row r="128" spans="1:19">
      <c r="A128" s="88" t="s">
        <v>124</v>
      </c>
      <c r="H128" s="52"/>
      <c r="N128" s="1"/>
    </row>
    <row r="152" spans="1:7">
      <c r="A152" s="92"/>
    </row>
    <row r="153" spans="1:7">
      <c r="A153" s="92"/>
      <c r="B153" s="92"/>
      <c r="C153" s="92"/>
      <c r="D153" s="92"/>
      <c r="E153" s="92"/>
      <c r="F153" s="92"/>
      <c r="G153" s="92"/>
    </row>
    <row r="154" spans="1:7">
      <c r="A154" s="92"/>
      <c r="B154" s="92"/>
      <c r="C154" s="92"/>
      <c r="D154" s="92"/>
      <c r="E154" s="92"/>
      <c r="F154" s="92"/>
      <c r="G154" s="92"/>
    </row>
    <row r="155" spans="1:7">
      <c r="A155" s="92"/>
      <c r="B155" s="92"/>
      <c r="C155" s="92"/>
      <c r="D155" s="92"/>
      <c r="E155" s="92"/>
      <c r="F155" s="92"/>
      <c r="G155" s="92"/>
    </row>
    <row r="156" spans="1:7">
      <c r="A156" s="92"/>
      <c r="B156" s="92"/>
      <c r="C156" s="92"/>
      <c r="D156" s="92"/>
      <c r="E156" s="92"/>
      <c r="F156" s="92"/>
      <c r="G156" s="92"/>
    </row>
    <row r="157" spans="1:7">
      <c r="A157" s="92"/>
      <c r="B157" s="92"/>
      <c r="C157" s="92"/>
      <c r="D157" s="92"/>
      <c r="E157" s="92"/>
      <c r="F157" s="92"/>
      <c r="G157" s="92"/>
    </row>
    <row r="158" spans="1:7">
      <c r="A158" s="92"/>
      <c r="B158" s="92"/>
      <c r="C158" s="92"/>
      <c r="D158" s="92"/>
      <c r="E158" s="92"/>
      <c r="F158" s="92"/>
      <c r="G158" s="92"/>
    </row>
    <row r="159" spans="1:7">
      <c r="A159" s="92"/>
      <c r="B159" s="92"/>
      <c r="C159" s="92"/>
      <c r="D159" s="92"/>
      <c r="E159" s="92"/>
      <c r="F159" s="92"/>
      <c r="G159" s="92"/>
    </row>
    <row r="160" spans="1:7">
      <c r="A160" s="92"/>
      <c r="B160" s="92"/>
      <c r="C160" s="92"/>
      <c r="D160" s="92"/>
      <c r="E160" s="92"/>
      <c r="F160" s="92"/>
      <c r="G160" s="92"/>
    </row>
    <row r="161" spans="1:7">
      <c r="A161" s="92"/>
      <c r="B161" s="92"/>
      <c r="C161" s="92"/>
      <c r="D161" s="92"/>
      <c r="E161" s="92"/>
      <c r="F161" s="92"/>
      <c r="G161" s="92"/>
    </row>
    <row r="162" spans="1:7">
      <c r="A162" s="92"/>
      <c r="B162" s="92"/>
      <c r="C162" s="92"/>
      <c r="D162" s="92"/>
      <c r="E162" s="92"/>
      <c r="F162" s="92"/>
      <c r="G162" s="92"/>
    </row>
    <row r="164" spans="1:7">
      <c r="A164" s="92"/>
      <c r="B164" s="92"/>
      <c r="C164" s="92"/>
      <c r="D164" s="92"/>
      <c r="E164" s="92"/>
      <c r="F164" s="92"/>
      <c r="G164" s="92"/>
    </row>
    <row r="165" spans="1:7">
      <c r="A165" s="92"/>
      <c r="B165" s="92"/>
      <c r="C165" s="92"/>
      <c r="D165" s="92"/>
      <c r="E165" s="92"/>
      <c r="F165" s="92"/>
      <c r="G165" s="92"/>
    </row>
  </sheetData>
  <mergeCells count="192">
    <mergeCell ref="R113:R117"/>
    <mergeCell ref="A118:A120"/>
    <mergeCell ref="B118:B119"/>
    <mergeCell ref="N118:N120"/>
    <mergeCell ref="O118:O120"/>
    <mergeCell ref="P118:P120"/>
    <mergeCell ref="Q118:Q120"/>
    <mergeCell ref="R118:R120"/>
    <mergeCell ref="A113:A117"/>
    <mergeCell ref="B113:B116"/>
    <mergeCell ref="N113:N117"/>
    <mergeCell ref="O113:O117"/>
    <mergeCell ref="P113:P117"/>
    <mergeCell ref="Q113:Q117"/>
    <mergeCell ref="A77:A78"/>
    <mergeCell ref="S77:S78"/>
    <mergeCell ref="A99:A102"/>
    <mergeCell ref="B99:B101"/>
    <mergeCell ref="N99:N102"/>
    <mergeCell ref="O99:O102"/>
    <mergeCell ref="P99:P102"/>
    <mergeCell ref="Q99:Q102"/>
    <mergeCell ref="R99:R102"/>
    <mergeCell ref="S99:S102"/>
    <mergeCell ref="S68:S69"/>
    <mergeCell ref="B71:B75"/>
    <mergeCell ref="N71:N76"/>
    <mergeCell ref="O71:O76"/>
    <mergeCell ref="P71:P76"/>
    <mergeCell ref="Q71:Q76"/>
    <mergeCell ref="R71:R76"/>
    <mergeCell ref="S71:S76"/>
    <mergeCell ref="A68:A69"/>
    <mergeCell ref="N68:N69"/>
    <mergeCell ref="O68:O69"/>
    <mergeCell ref="P68:P69"/>
    <mergeCell ref="Q68:Q69"/>
    <mergeCell ref="R68:R69"/>
    <mergeCell ref="S62:S63"/>
    <mergeCell ref="A65:A67"/>
    <mergeCell ref="B65:B66"/>
    <mergeCell ref="N65:N67"/>
    <mergeCell ref="O65:O67"/>
    <mergeCell ref="P65:P67"/>
    <mergeCell ref="Q65:Q67"/>
    <mergeCell ref="R65:R67"/>
    <mergeCell ref="S65:S67"/>
    <mergeCell ref="A62:A63"/>
    <mergeCell ref="N62:N63"/>
    <mergeCell ref="O62:O63"/>
    <mergeCell ref="P62:P63"/>
    <mergeCell ref="Q62:Q63"/>
    <mergeCell ref="R62:R63"/>
    <mergeCell ref="R56:R58"/>
    <mergeCell ref="S56:S58"/>
    <mergeCell ref="A59:A61"/>
    <mergeCell ref="B59:B60"/>
    <mergeCell ref="N59:N61"/>
    <mergeCell ref="O59:O61"/>
    <mergeCell ref="P59:P61"/>
    <mergeCell ref="Q59:Q61"/>
    <mergeCell ref="R59:R61"/>
    <mergeCell ref="S59:S61"/>
    <mergeCell ref="A56:A58"/>
    <mergeCell ref="B56:B57"/>
    <mergeCell ref="N56:N58"/>
    <mergeCell ref="O56:O58"/>
    <mergeCell ref="P56:P58"/>
    <mergeCell ref="Q56:Q58"/>
    <mergeCell ref="N54:N55"/>
    <mergeCell ref="O54:O55"/>
    <mergeCell ref="P54:P55"/>
    <mergeCell ref="Q54:Q55"/>
    <mergeCell ref="R54:R55"/>
    <mergeCell ref="S54:S55"/>
    <mergeCell ref="T50:U50"/>
    <mergeCell ref="T51:U51"/>
    <mergeCell ref="A52:A53"/>
    <mergeCell ref="N52:N53"/>
    <mergeCell ref="O52:O53"/>
    <mergeCell ref="P52:P53"/>
    <mergeCell ref="Q52:Q53"/>
    <mergeCell ref="R52:R53"/>
    <mergeCell ref="S52:S53"/>
    <mergeCell ref="T52:U52"/>
    <mergeCell ref="S48:S49"/>
    <mergeCell ref="N50:N51"/>
    <mergeCell ref="O50:O51"/>
    <mergeCell ref="P50:P51"/>
    <mergeCell ref="Q50:Q51"/>
    <mergeCell ref="R50:R51"/>
    <mergeCell ref="S50:S51"/>
    <mergeCell ref="A48:A49"/>
    <mergeCell ref="N48:N49"/>
    <mergeCell ref="O48:O49"/>
    <mergeCell ref="P48:P49"/>
    <mergeCell ref="Q48:Q49"/>
    <mergeCell ref="R48:R49"/>
    <mergeCell ref="S40:S44"/>
    <mergeCell ref="T44:U44"/>
    <mergeCell ref="A45:A47"/>
    <mergeCell ref="B45:B46"/>
    <mergeCell ref="N45:N47"/>
    <mergeCell ref="O45:O47"/>
    <mergeCell ref="P45:P47"/>
    <mergeCell ref="Q45:Q47"/>
    <mergeCell ref="R45:R47"/>
    <mergeCell ref="S45:S47"/>
    <mergeCell ref="B40:B43"/>
    <mergeCell ref="N40:N44"/>
    <mergeCell ref="O40:O44"/>
    <mergeCell ref="P40:P44"/>
    <mergeCell ref="Q40:Q44"/>
    <mergeCell ref="R40:R44"/>
    <mergeCell ref="R33:R36"/>
    <mergeCell ref="S33:S36"/>
    <mergeCell ref="A38:A39"/>
    <mergeCell ref="N38:N39"/>
    <mergeCell ref="O38:O39"/>
    <mergeCell ref="P38:P39"/>
    <mergeCell ref="Q38:Q39"/>
    <mergeCell ref="R38:R39"/>
    <mergeCell ref="S38:S39"/>
    <mergeCell ref="A33:A35"/>
    <mergeCell ref="B33:B35"/>
    <mergeCell ref="N33:N36"/>
    <mergeCell ref="O33:O36"/>
    <mergeCell ref="P33:P36"/>
    <mergeCell ref="Q33:Q36"/>
    <mergeCell ref="A29:A32"/>
    <mergeCell ref="B29:B31"/>
    <mergeCell ref="O29:O32"/>
    <mergeCell ref="P29:P32"/>
    <mergeCell ref="Q29:Q32"/>
    <mergeCell ref="R29:R32"/>
    <mergeCell ref="S29:S32"/>
    <mergeCell ref="A26:A28"/>
    <mergeCell ref="B26:B27"/>
    <mergeCell ref="N26:N28"/>
    <mergeCell ref="O26:O28"/>
    <mergeCell ref="P26:P28"/>
    <mergeCell ref="Q26:Q28"/>
    <mergeCell ref="A18:A21"/>
    <mergeCell ref="B18:B20"/>
    <mergeCell ref="N18:N21"/>
    <mergeCell ref="O18:O21"/>
    <mergeCell ref="P18:P21"/>
    <mergeCell ref="Q18:Q21"/>
    <mergeCell ref="R18:R21"/>
    <mergeCell ref="R26:R28"/>
    <mergeCell ref="S26:S28"/>
    <mergeCell ref="A13:A14"/>
    <mergeCell ref="A15:A17"/>
    <mergeCell ref="B15:B16"/>
    <mergeCell ref="N15:N17"/>
    <mergeCell ref="O15:O17"/>
    <mergeCell ref="P15:P17"/>
    <mergeCell ref="R9:R10"/>
    <mergeCell ref="A11:A12"/>
    <mergeCell ref="N11:N12"/>
    <mergeCell ref="O11:O12"/>
    <mergeCell ref="P11:P12"/>
    <mergeCell ref="Q11:Q12"/>
    <mergeCell ref="R11:R12"/>
    <mergeCell ref="Q15:Q17"/>
    <mergeCell ref="R15:R17"/>
    <mergeCell ref="A9:A10"/>
    <mergeCell ref="N9:N10"/>
    <mergeCell ref="O9:O10"/>
    <mergeCell ref="P9:P10"/>
    <mergeCell ref="Q9:Q10"/>
    <mergeCell ref="I5:I6"/>
    <mergeCell ref="J5:J6"/>
    <mergeCell ref="K5:K6"/>
    <mergeCell ref="L5:L6"/>
    <mergeCell ref="M5:M6"/>
    <mergeCell ref="N5:N6"/>
    <mergeCell ref="A1:S3"/>
    <mergeCell ref="A4:A6"/>
    <mergeCell ref="B4:B6"/>
    <mergeCell ref="M4:S4"/>
    <mergeCell ref="C5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74803149606299213" right="0.74803149606299213" top="0.98425196850393704" bottom="0.98425196850393704" header="0" footer="0"/>
  <pageSetup scale="59" orientation="portrait" r:id="rId1"/>
  <headerFooter alignWithMargins="0"/>
  <rowBreaks count="1" manualBreakCount="1">
    <brk id="112" max="18" man="1"/>
  </rowBreaks>
  <ignoredErrors>
    <ignoredError sqref="A45 A48 A54 A56 A59 A99 A1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47</vt:lpstr>
      <vt:lpstr>'47'!Área_de_impresión</vt:lpstr>
      <vt:lpstr>'47'!Títulos_a_imprimir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2019-05-09T20:49:38Z</dcterms:created>
  <dcterms:modified xsi:type="dcterms:W3CDTF">2019-05-10T00:04:38Z</dcterms:modified>
</cp:coreProperties>
</file>